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ник\Downloads\"/>
    </mc:Choice>
  </mc:AlternateContent>
  <bookViews>
    <workbookView xWindow="0" yWindow="0" windowWidth="24750" windowHeight="12330" tabRatio="500"/>
  </bookViews>
  <sheets>
    <sheet name="Материалы Цемент Газобетон" sheetId="1" r:id="rId1"/>
    <sheet name="Металлопрокат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6" i="1" l="1"/>
  <c r="F6" i="1"/>
  <c r="H5" i="1"/>
  <c r="F5" i="1"/>
  <c r="D5" i="1"/>
  <c r="K65" i="2"/>
  <c r="K64" i="2"/>
  <c r="K63" i="2"/>
  <c r="K62" i="2"/>
  <c r="K61" i="2"/>
  <c r="K60" i="2"/>
  <c r="K59" i="2"/>
  <c r="K58" i="2"/>
  <c r="K56" i="2"/>
  <c r="K55" i="2"/>
  <c r="K54" i="2"/>
  <c r="E54" i="2"/>
  <c r="K53" i="2"/>
  <c r="E53" i="2"/>
  <c r="K52" i="2"/>
  <c r="E52" i="2"/>
  <c r="K51" i="2"/>
  <c r="E51" i="2"/>
  <c r="K50" i="2"/>
  <c r="K49" i="2"/>
  <c r="E49" i="2"/>
  <c r="K48" i="2"/>
  <c r="E48" i="2"/>
  <c r="K47" i="2"/>
  <c r="E47" i="2"/>
  <c r="K46" i="2"/>
  <c r="E46" i="2"/>
  <c r="K44" i="2"/>
  <c r="K43" i="2"/>
  <c r="E43" i="2"/>
  <c r="K42" i="2"/>
  <c r="E42" i="2"/>
  <c r="K41" i="2"/>
  <c r="E41" i="2"/>
  <c r="K40" i="2"/>
  <c r="E40" i="2"/>
  <c r="K39" i="2"/>
  <c r="E39" i="2"/>
  <c r="K38" i="2"/>
  <c r="E38" i="2"/>
  <c r="K37" i="2"/>
  <c r="E37" i="2"/>
  <c r="K36" i="2"/>
  <c r="E36" i="2"/>
  <c r="K35" i="2"/>
  <c r="E35" i="2"/>
  <c r="K34" i="2"/>
  <c r="K33" i="2"/>
  <c r="E33" i="2"/>
  <c r="E32" i="2"/>
  <c r="K31" i="2"/>
  <c r="E31" i="2"/>
  <c r="K30" i="2"/>
  <c r="E30" i="2"/>
  <c r="K29" i="2"/>
  <c r="K28" i="2"/>
  <c r="E28" i="2"/>
  <c r="K27" i="2"/>
  <c r="E27" i="2"/>
  <c r="K26" i="2"/>
  <c r="E26" i="2"/>
  <c r="K25" i="2"/>
  <c r="E25" i="2"/>
  <c r="K24" i="2"/>
  <c r="E24" i="2"/>
  <c r="K23" i="2"/>
  <c r="K22" i="2"/>
  <c r="E22" i="2"/>
  <c r="K21" i="2"/>
  <c r="E21" i="2"/>
  <c r="K20" i="2"/>
  <c r="K19" i="2"/>
  <c r="E19" i="2"/>
  <c r="K18" i="2"/>
  <c r="E18" i="2"/>
  <c r="K17" i="2"/>
  <c r="E17" i="2"/>
  <c r="K16" i="2"/>
  <c r="E16" i="2"/>
  <c r="K15" i="2"/>
  <c r="E15" i="2"/>
  <c r="K14" i="2"/>
  <c r="E14" i="2"/>
  <c r="K13" i="2"/>
  <c r="K12" i="2"/>
  <c r="E12" i="2"/>
  <c r="K11" i="2"/>
  <c r="E11" i="2"/>
  <c r="K10" i="2"/>
  <c r="E10" i="2"/>
  <c r="K9" i="2"/>
  <c r="E9" i="2"/>
  <c r="K8" i="2"/>
  <c r="E8" i="2"/>
  <c r="K7" i="2"/>
  <c r="E7" i="2"/>
  <c r="K6" i="2"/>
  <c r="E6" i="2"/>
  <c r="K5" i="2"/>
  <c r="E5" i="2"/>
  <c r="K4" i="2"/>
  <c r="E4" i="2"/>
  <c r="K3" i="2"/>
  <c r="E3" i="2"/>
  <c r="H7" i="1"/>
  <c r="F7" i="1"/>
  <c r="D7" i="1"/>
  <c r="D6" i="1"/>
</calcChain>
</file>

<file path=xl/sharedStrings.xml><?xml version="1.0" encoding="utf-8"?>
<sst xmlns="http://schemas.openxmlformats.org/spreadsheetml/2006/main" count="224" uniqueCount="189">
  <si>
    <t>Наименование товаров</t>
  </si>
  <si>
    <t>Цена, руб.</t>
  </si>
  <si>
    <t xml:space="preserve">до 1т. </t>
  </si>
  <si>
    <t>от 1 поддона</t>
  </si>
  <si>
    <t>от 20т.</t>
  </si>
  <si>
    <t>ЦЕМЕНТ</t>
  </si>
  <si>
    <t>Меш.</t>
  </si>
  <si>
    <t>Тонна</t>
  </si>
  <si>
    <t>25кг</t>
  </si>
  <si>
    <t>Новоросцемент ПЦ500 Д0</t>
  </si>
  <si>
    <t>50кг</t>
  </si>
  <si>
    <t>Новоросцемент ПЦ500 Д20</t>
  </si>
  <si>
    <t xml:space="preserve">РОССЦЕМ ПЦ500 </t>
  </si>
  <si>
    <t>ПЕСОК</t>
  </si>
  <si>
    <t>Навал Т.</t>
  </si>
  <si>
    <t>ЩЕБЕНЬ</t>
  </si>
  <si>
    <t>Навал</t>
  </si>
  <si>
    <t xml:space="preserve"> </t>
  </si>
  <si>
    <t>Морской (донузлав.)</t>
  </si>
  <si>
    <t>Белогорский</t>
  </si>
  <si>
    <t>20*40</t>
  </si>
  <si>
    <t>Керченский</t>
  </si>
  <si>
    <t>Мраморный</t>
  </si>
  <si>
    <t>5*20</t>
  </si>
  <si>
    <t>Ростовский</t>
  </si>
  <si>
    <t>Галька дроблен</t>
  </si>
  <si>
    <t>Диоритовый</t>
  </si>
  <si>
    <t>ПГС</t>
  </si>
  <si>
    <t>Бут</t>
  </si>
  <si>
    <t>150*500</t>
  </si>
  <si>
    <t>Тырса</t>
  </si>
  <si>
    <t>Отсев гранитный</t>
  </si>
  <si>
    <t>Крошка ДИОРИТОВАЯ</t>
  </si>
  <si>
    <t>Отсев ароматное</t>
  </si>
  <si>
    <t>Крошка МРАМОРНАЯ</t>
  </si>
  <si>
    <t>ЗАКАЗАТЬ</t>
  </si>
  <si>
    <t>KNAUF</t>
  </si>
  <si>
    <t>меш.</t>
  </si>
  <si>
    <t>руб.</t>
  </si>
  <si>
    <t>меш</t>
  </si>
  <si>
    <t>НР Старт Шпаклевка гипс.</t>
  </si>
  <si>
    <t>Ротбанд</t>
  </si>
  <si>
    <t>30кг</t>
  </si>
  <si>
    <t>НР Финиш Шпаклевка гипс.</t>
  </si>
  <si>
    <t>МП-75 Штукатурка машин.</t>
  </si>
  <si>
    <t>Фюгенфюллер</t>
  </si>
  <si>
    <t>Перлфикс Клей гипс.Монтаж</t>
  </si>
  <si>
    <t>+7978-1000-345</t>
  </si>
  <si>
    <t>EUROGIPS</t>
  </si>
  <si>
    <t>Изогипс Старт Штукатурка</t>
  </si>
  <si>
    <t xml:space="preserve">Сатенгипс Финиш </t>
  </si>
  <si>
    <t>CERESIT</t>
  </si>
  <si>
    <t>СТ-17 Грунтовка</t>
  </si>
  <si>
    <t>10л</t>
  </si>
  <si>
    <r>
      <rPr>
        <b/>
        <sz val="11"/>
        <color rgb="FF002060"/>
        <rFont val="Calibri"/>
        <family val="2"/>
        <charset val="204"/>
      </rPr>
      <t xml:space="preserve">СМ-11 </t>
    </r>
    <r>
      <rPr>
        <b/>
        <sz val="9"/>
        <color rgb="FF002060"/>
        <rFont val="Calibri"/>
        <family val="2"/>
        <charset val="204"/>
      </rPr>
      <t>Клей для плитки</t>
    </r>
  </si>
  <si>
    <t>www.cemdvor.com</t>
  </si>
  <si>
    <t>5л</t>
  </si>
  <si>
    <t>ВОЛМА</t>
  </si>
  <si>
    <t>КАМЕНЬ "ФРАНЦУЗ"</t>
  </si>
  <si>
    <t>см</t>
  </si>
  <si>
    <t>руб./шт</t>
  </si>
  <si>
    <t>Стеновой</t>
  </si>
  <si>
    <t>КИРПИЧ простеночный</t>
  </si>
  <si>
    <t>шт.</t>
  </si>
  <si>
    <t>паллет</t>
  </si>
  <si>
    <t>ГАЗОБЕТОН МАССИВ</t>
  </si>
  <si>
    <t>м3</t>
  </si>
  <si>
    <t>В НАЛИЧИИ СУХИЕ СМЕСИ</t>
  </si>
  <si>
    <t>Перегородочный</t>
  </si>
  <si>
    <t>600*200*100</t>
  </si>
  <si>
    <t>600*200*300</t>
  </si>
  <si>
    <t>50*50*4</t>
  </si>
  <si>
    <t>Наименование товара</t>
  </si>
  <si>
    <t>ОПТ от 5т</t>
  </si>
  <si>
    <t>Розница</t>
  </si>
  <si>
    <t>руб./1м.п.</t>
  </si>
  <si>
    <t>метраж</t>
  </si>
  <si>
    <t>АРМАТУРА мера 11,75м</t>
  </si>
  <si>
    <t>ТРУБА Профильная</t>
  </si>
  <si>
    <t>Арматура А500С мера 11,75м</t>
  </si>
  <si>
    <t>Труба</t>
  </si>
  <si>
    <t>20*20*2</t>
  </si>
  <si>
    <t>25*25*2</t>
  </si>
  <si>
    <t>30*20*2</t>
  </si>
  <si>
    <t>30*30*2</t>
  </si>
  <si>
    <t>40*20*2</t>
  </si>
  <si>
    <t>40*25*2</t>
  </si>
  <si>
    <t>40*40*2</t>
  </si>
  <si>
    <t>40*40*3</t>
  </si>
  <si>
    <t>50*25*2</t>
  </si>
  <si>
    <t>50*30*2</t>
  </si>
  <si>
    <t>КРУГ</t>
  </si>
  <si>
    <t>50*50*2</t>
  </si>
  <si>
    <t>Круг</t>
  </si>
  <si>
    <t>6,5 (6м)</t>
  </si>
  <si>
    <t>50*50*3</t>
  </si>
  <si>
    <t>8 (6м)</t>
  </si>
  <si>
    <t>60*30*2</t>
  </si>
  <si>
    <t>10 (6м)</t>
  </si>
  <si>
    <t>60*30*3</t>
  </si>
  <si>
    <t>12 (11,7м)</t>
  </si>
  <si>
    <t>60*40*2</t>
  </si>
  <si>
    <t>14 (6м)</t>
  </si>
  <si>
    <t>60*40*3</t>
  </si>
  <si>
    <t>16 (11,7м)</t>
  </si>
  <si>
    <t>60*60*2</t>
  </si>
  <si>
    <t>КАТАНКА в бухтах</t>
  </si>
  <si>
    <t>60*60*3</t>
  </si>
  <si>
    <t>Катанка</t>
  </si>
  <si>
    <t>80*40*2</t>
  </si>
  <si>
    <t>80*40*3</t>
  </si>
  <si>
    <t>ДВУТАВРОВАЯ БАЛКА, 12м</t>
  </si>
  <si>
    <t>80*60*3</t>
  </si>
  <si>
    <t>Балка, 12м</t>
  </si>
  <si>
    <t>80*80*2</t>
  </si>
  <si>
    <t>80*80*3</t>
  </si>
  <si>
    <t>80*80*4</t>
  </si>
  <si>
    <t>100*100*3</t>
  </si>
  <si>
    <t>100*100*4</t>
  </si>
  <si>
    <t>КВАДРАТ, 6м</t>
  </si>
  <si>
    <t>100*50*3</t>
  </si>
  <si>
    <t>Квадрат</t>
  </si>
  <si>
    <t>120*120*4</t>
  </si>
  <si>
    <t>15*15*1,5</t>
  </si>
  <si>
    <t>ТРУБА ЭлектроГазоСварная (круглая)</t>
  </si>
  <si>
    <t>Труба ВГП</t>
  </si>
  <si>
    <t>15*2,8(1+1/4)</t>
  </si>
  <si>
    <t>ЛИСТ гарячекатанный (Г/К)</t>
  </si>
  <si>
    <t>20*2,8(3/4)</t>
  </si>
  <si>
    <t>Лист (Г/К)</t>
  </si>
  <si>
    <t>2*1000*2000</t>
  </si>
  <si>
    <t>25*2,8(1+1/4)</t>
  </si>
  <si>
    <t>2*1250*2500</t>
  </si>
  <si>
    <t>32*2,8</t>
  </si>
  <si>
    <t>3*1000*2000</t>
  </si>
  <si>
    <t>40*3</t>
  </si>
  <si>
    <t>3*1250*2500</t>
  </si>
  <si>
    <t>Труба Э/С</t>
  </si>
  <si>
    <t>57*3</t>
  </si>
  <si>
    <t>4*1500*6000</t>
  </si>
  <si>
    <t>76*3</t>
  </si>
  <si>
    <t>6*1500*6000</t>
  </si>
  <si>
    <t>89*3</t>
  </si>
  <si>
    <t>8*1500*6000</t>
  </si>
  <si>
    <t>102*3</t>
  </si>
  <si>
    <t>10*1500*6000</t>
  </si>
  <si>
    <t>133*4</t>
  </si>
  <si>
    <t>Лист Рифленный</t>
  </si>
  <si>
    <t>159*4</t>
  </si>
  <si>
    <t>Тр.бесш</t>
  </si>
  <si>
    <t>89*3,5</t>
  </si>
  <si>
    <t>ЛИСТ холоднокатанный (Х/К)</t>
  </si>
  <si>
    <t>УГОЛОК</t>
  </si>
  <si>
    <t>Лист (Х/К)</t>
  </si>
  <si>
    <t>1,2*1250*2500</t>
  </si>
  <si>
    <t>Уголок</t>
  </si>
  <si>
    <t>25*25*3</t>
  </si>
  <si>
    <t>1,5*1250*2500</t>
  </si>
  <si>
    <t>32*32*3</t>
  </si>
  <si>
    <t>40*40*4</t>
  </si>
  <si>
    <t>45*45*4</t>
  </si>
  <si>
    <t>ПОЛОСА,6м</t>
  </si>
  <si>
    <t xml:space="preserve">Полоса </t>
  </si>
  <si>
    <t>25*4</t>
  </si>
  <si>
    <t>50*50*5</t>
  </si>
  <si>
    <t>30*4</t>
  </si>
  <si>
    <t>63*63*5</t>
  </si>
  <si>
    <t>40*4</t>
  </si>
  <si>
    <t>75*75*5</t>
  </si>
  <si>
    <t>50*4</t>
  </si>
  <si>
    <t>75*75*6</t>
  </si>
  <si>
    <t>ПРОВОЛОКА вязальная в бунтах</t>
  </si>
  <si>
    <t>100*100*10</t>
  </si>
  <si>
    <t xml:space="preserve">Проволока </t>
  </si>
  <si>
    <t>100*100*7</t>
  </si>
  <si>
    <t>ШВЕЛЛЕР горячекатанный,12м</t>
  </si>
  <si>
    <t>Швеллер</t>
  </si>
  <si>
    <t>СЕТКА армировочная</t>
  </si>
  <si>
    <t>Сетка</t>
  </si>
  <si>
    <t>150*150*3</t>
  </si>
  <si>
    <t>150*150*4</t>
  </si>
  <si>
    <t>пласт</t>
  </si>
  <si>
    <t>1 паллет = 1,8куба</t>
  </si>
  <si>
    <t>При покупке товара на поддонах: 1поддон = 300руб.</t>
  </si>
  <si>
    <t>ЗАКАЗАТЬ →+7978-1000-345 менеджер по металлу</t>
  </si>
  <si>
    <t>Морской (прибрежн.улучшенный)</t>
  </si>
  <si>
    <t>Песок Пятихатка</t>
  </si>
  <si>
    <t>Ароматное</t>
  </si>
  <si>
    <t>ПРАЙС - ЛИСТ НА  21.07.2022г.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</si>
</sst>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  <family val="2"/>
      <charset val="1"/>
    </font>
    <font>
      <b/>
      <sz val="11"/>
      <color rgb="FF002060"/>
      <name val="Calibri"/>
      <family val="2"/>
      <charset val="204"/>
    </font>
    <font>
      <sz val="11"/>
      <color rgb="FF002060"/>
      <name val="Calibri"/>
      <family val="2"/>
      <charset val="1"/>
    </font>
    <font>
      <sz val="11"/>
      <color rgb="FF002060"/>
      <name val="Arial Black"/>
      <family val="2"/>
      <charset val="204"/>
    </font>
    <font>
      <sz val="30"/>
      <color rgb="FF002060"/>
      <name val="Arial Black"/>
      <family val="2"/>
      <charset val="204"/>
    </font>
    <font>
      <sz val="32"/>
      <color rgb="FF002060"/>
      <name val="Arial Black"/>
      <family val="2"/>
      <charset val="204"/>
    </font>
    <font>
      <sz val="22"/>
      <color rgb="FF002060"/>
      <name val="Arial Black"/>
      <family val="2"/>
      <charset val="204"/>
    </font>
    <font>
      <b/>
      <sz val="9"/>
      <color rgb="FF002060"/>
      <name val="Calibri"/>
      <family val="2"/>
      <charset val="204"/>
    </font>
    <font>
      <u/>
      <sz val="14"/>
      <color rgb="FF002060"/>
      <name val="Arial Black"/>
      <family val="2"/>
      <charset val="204"/>
    </font>
    <font>
      <u/>
      <sz val="11"/>
      <color rgb="FF0000FF"/>
      <name val="Calibri"/>
      <family val="2"/>
      <charset val="1"/>
    </font>
    <font>
      <sz val="11"/>
      <color rgb="FF002060"/>
      <name val="Calibri"/>
      <family val="2"/>
      <charset val="204"/>
    </font>
    <font>
      <b/>
      <sz val="14"/>
      <color rgb="FF00206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B050"/>
        <bgColor rgb="FF0DB7B3"/>
      </patternFill>
    </fill>
    <fill>
      <patternFill patternType="solid">
        <fgColor rgb="FFA9D18E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0070C0"/>
        <bgColor rgb="FF008080"/>
      </patternFill>
    </fill>
    <fill>
      <patternFill patternType="solid">
        <fgColor rgb="FF0DB7B3"/>
        <bgColor rgb="FF00CCFF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9" fillId="0" borderId="0" applyBorder="0" applyProtection="0"/>
  </cellStyleXfs>
  <cellXfs count="148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1" fillId="3" borderId="6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0" borderId="6" xfId="0" applyFont="1" applyBorder="1"/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4" borderId="6" xfId="0" applyFont="1" applyFill="1" applyBorder="1"/>
    <xf numFmtId="0" fontId="2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" fillId="0" borderId="8" xfId="0" applyFont="1" applyBorder="1"/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0" borderId="13" xfId="0" applyFont="1" applyBorder="1"/>
    <xf numFmtId="0" fontId="3" fillId="2" borderId="13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>
      <alignment wrapText="1"/>
    </xf>
    <xf numFmtId="0" fontId="1" fillId="5" borderId="3" xfId="0" applyFont="1" applyFill="1" applyBorder="1" applyAlignment="1">
      <alignment vertical="center"/>
    </xf>
    <xf numFmtId="0" fontId="1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center" vertical="center"/>
    </xf>
    <xf numFmtId="0" fontId="1" fillId="0" borderId="3" xfId="0" applyFont="1" applyBorder="1"/>
    <xf numFmtId="0" fontId="2" fillId="4" borderId="14" xfId="0" applyFont="1" applyFill="1" applyBorder="1" applyAlignment="1">
      <alignment vertical="center"/>
    </xf>
    <xf numFmtId="0" fontId="2" fillId="4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1" fillId="0" borderId="2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Alignment="1"/>
    <xf numFmtId="0" fontId="1" fillId="0" borderId="20" xfId="0" applyFont="1" applyBorder="1"/>
    <xf numFmtId="0" fontId="2" fillId="0" borderId="10" xfId="0" applyFont="1" applyBorder="1"/>
    <xf numFmtId="0" fontId="1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3" xfId="0" applyFont="1" applyBorder="1" applyAlignment="1"/>
    <xf numFmtId="0" fontId="1" fillId="0" borderId="4" xfId="0" applyFont="1" applyBorder="1"/>
    <xf numFmtId="0" fontId="2" fillId="0" borderId="10" xfId="0" applyFont="1" applyBorder="1" applyAlignment="1"/>
    <xf numFmtId="0" fontId="2" fillId="0" borderId="10" xfId="0" applyFont="1" applyBorder="1" applyAlignment="1">
      <alignment horizontal="center"/>
    </xf>
    <xf numFmtId="0" fontId="1" fillId="0" borderId="21" xfId="0" applyFont="1" applyBorder="1"/>
    <xf numFmtId="0" fontId="10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2" fontId="1" fillId="0" borderId="3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" fontId="0" fillId="0" borderId="0" xfId="0" applyNumberFormat="1"/>
    <xf numFmtId="0" fontId="1" fillId="0" borderId="13" xfId="0" applyFont="1" applyBorder="1" applyAlignment="1">
      <alignment wrapText="1"/>
    </xf>
    <xf numFmtId="0" fontId="1" fillId="0" borderId="13" xfId="0" applyFont="1" applyBorder="1"/>
    <xf numFmtId="0" fontId="1" fillId="0" borderId="23" xfId="0" applyFont="1" applyBorder="1"/>
    <xf numFmtId="0" fontId="1" fillId="0" borderId="2" xfId="0" applyFont="1" applyBorder="1" applyAlignment="1">
      <alignment wrapText="1"/>
    </xf>
    <xf numFmtId="2" fontId="2" fillId="0" borderId="3" xfId="0" applyNumberFormat="1" applyFont="1" applyBorder="1"/>
    <xf numFmtId="2" fontId="2" fillId="0" borderId="4" xfId="0" applyNumberFormat="1" applyFont="1" applyBorder="1"/>
    <xf numFmtId="1" fontId="2" fillId="0" borderId="0" xfId="0" applyNumberFormat="1" applyFont="1" applyBorder="1"/>
    <xf numFmtId="0" fontId="10" fillId="0" borderId="3" xfId="0" applyFont="1" applyBorder="1"/>
    <xf numFmtId="1" fontId="3" fillId="7" borderId="0" xfId="0" applyNumberFormat="1" applyFont="1" applyFill="1" applyBorder="1" applyAlignment="1">
      <alignment horizontal="center"/>
    </xf>
    <xf numFmtId="2" fontId="2" fillId="0" borderId="0" xfId="0" applyNumberFormat="1" applyFont="1" applyBorder="1"/>
    <xf numFmtId="0" fontId="3" fillId="7" borderId="3" xfId="0" applyFont="1" applyFill="1" applyBorder="1" applyAlignment="1">
      <alignment vertical="center"/>
    </xf>
    <xf numFmtId="0" fontId="2" fillId="0" borderId="21" xfId="0" applyFont="1" applyBorder="1"/>
    <xf numFmtId="0" fontId="1" fillId="8" borderId="6" xfId="0" applyFont="1" applyFill="1" applyBorder="1"/>
    <xf numFmtId="0" fontId="2" fillId="8" borderId="3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2" fontId="1" fillId="8" borderId="3" xfId="0" applyNumberFormat="1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vertical="center"/>
    </xf>
    <xf numFmtId="0" fontId="2" fillId="8" borderId="3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4" borderId="1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1" fillId="0" borderId="1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27" xfId="0" applyNumberFormat="1" applyFont="1" applyBorder="1" applyAlignment="1">
      <alignment horizontal="center" textRotation="90" wrapText="1"/>
    </xf>
    <xf numFmtId="0" fontId="4" fillId="7" borderId="5" xfId="0" applyFont="1" applyFill="1" applyBorder="1" applyAlignment="1">
      <alignment horizontal="center" vertical="center" textRotation="90"/>
    </xf>
    <xf numFmtId="0" fontId="3" fillId="7" borderId="6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/>
    </xf>
    <xf numFmtId="0" fontId="3" fillId="7" borderId="6" xfId="0" applyFont="1" applyFill="1" applyBorder="1" applyAlignment="1">
      <alignment horizontal="center" vertical="center" textRotation="90"/>
    </xf>
    <xf numFmtId="0" fontId="3" fillId="7" borderId="6" xfId="0" applyFont="1" applyFill="1" applyBorder="1" applyAlignment="1">
      <alignment horizontal="center" vertical="center" textRotation="91"/>
    </xf>
    <xf numFmtId="0" fontId="3" fillId="7" borderId="6" xfId="0" applyFont="1" applyFill="1" applyBorder="1" applyAlignment="1">
      <alignment horizontal="center" wrapText="1"/>
    </xf>
    <xf numFmtId="2" fontId="2" fillId="0" borderId="3" xfId="0" applyNumberFormat="1" applyFont="1" applyBorder="1" applyAlignment="1">
      <alignment horizontal="center"/>
    </xf>
    <xf numFmtId="0" fontId="3" fillId="7" borderId="6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textRotation="90"/>
    </xf>
    <xf numFmtId="0" fontId="3" fillId="7" borderId="20" xfId="0" applyFont="1" applyFill="1" applyBorder="1" applyAlignment="1">
      <alignment horizontal="center" vertical="center" textRotation="9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18E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0DB7B3"/>
      <rgbColor rgb="FF99CC00"/>
      <rgbColor rgb="FFFFCC00"/>
      <rgbColor rgb="FFFF9900"/>
      <rgbColor rgb="FFFF6600"/>
      <rgbColor rgb="FF666699"/>
      <rgbColor rgb="FF969696"/>
      <rgbColor rgb="FF002060"/>
      <rgbColor rgb="FF00B050"/>
      <rgbColor rgb="FF003300"/>
      <rgbColor rgb="FF333300"/>
      <rgbColor rgb="FF993300"/>
      <rgbColor rgb="FF993366"/>
      <rgbColor rgb="FF33339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15121</xdr:colOff>
      <xdr:row>0</xdr:row>
      <xdr:rowOff>0</xdr:rowOff>
    </xdr:from>
    <xdr:to>
      <xdr:col>13</xdr:col>
      <xdr:colOff>117231</xdr:colOff>
      <xdr:row>9</xdr:row>
      <xdr:rowOff>21981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5341794" y="0"/>
          <a:ext cx="2366129" cy="1787769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9</xdr:col>
      <xdr:colOff>434520</xdr:colOff>
      <xdr:row>22</xdr:row>
      <xdr:rowOff>66600</xdr:rowOff>
    </xdr:from>
    <xdr:to>
      <xdr:col>11</xdr:col>
      <xdr:colOff>365400</xdr:colOff>
      <xdr:row>26</xdr:row>
      <xdr:rowOff>57600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5843160" y="4249800"/>
          <a:ext cx="769320" cy="714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8</xdr:col>
      <xdr:colOff>91440</xdr:colOff>
      <xdr:row>11</xdr:row>
      <xdr:rowOff>30600</xdr:rowOff>
    </xdr:from>
    <xdr:to>
      <xdr:col>13</xdr:col>
      <xdr:colOff>75600</xdr:colOff>
      <xdr:row>19</xdr:row>
      <xdr:rowOff>174600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3"/>
        <a:stretch/>
      </xdr:blipFill>
      <xdr:spPr>
        <a:xfrm>
          <a:off x="5076000" y="2125800"/>
          <a:ext cx="2374920" cy="16452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8</xdr:col>
      <xdr:colOff>11475</xdr:colOff>
      <xdr:row>39</xdr:row>
      <xdr:rowOff>59492</xdr:rowOff>
    </xdr:from>
    <xdr:to>
      <xdr:col>13</xdr:col>
      <xdr:colOff>33619</xdr:colOff>
      <xdr:row>45</xdr:row>
      <xdr:rowOff>224118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4"/>
        <a:stretch/>
      </xdr:blipFill>
      <xdr:spPr>
        <a:xfrm>
          <a:off x="5715269" y="7690698"/>
          <a:ext cx="2285732" cy="117315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6120</xdr:colOff>
      <xdr:row>0</xdr:row>
      <xdr:rowOff>0</xdr:rowOff>
    </xdr:from>
    <xdr:to>
      <xdr:col>15</xdr:col>
      <xdr:colOff>444500</xdr:colOff>
      <xdr:row>66</xdr:row>
      <xdr:rowOff>12700</xdr:rowOff>
    </xdr:to>
    <xdr:sp macro="" textlink="">
      <xdr:nvSpPr>
        <xdr:cNvPr id="4" name="Прямоугольник 1"/>
        <xdr:cNvSpPr/>
      </xdr:nvSpPr>
      <xdr:spPr>
        <a:xfrm rot="16200000">
          <a:off x="1876310" y="5584710"/>
          <a:ext cx="13284200" cy="2114780"/>
        </a:xfrm>
        <a:prstGeom prst="rect">
          <a:avLst/>
        </a:prstGeom>
        <a:solidFill>
          <a:srgbClr val="0DB7B3"/>
        </a:solidFill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 algn="ctr">
            <a:lnSpc>
              <a:spcPct val="100000"/>
            </a:lnSpc>
          </a:pPr>
          <a:r>
            <a:rPr lang="ru-RU" sz="6500" b="1" strike="noStrike" spc="-1">
              <a:solidFill>
                <a:srgbClr val="FFFFFF"/>
              </a:solidFill>
              <a:latin typeface="Times New Roman"/>
            </a:rPr>
            <a:t>МЕТАЛЛОБАЗА НА ДАНИЛОВА,55</a:t>
          </a:r>
          <a:endParaRPr lang="ru-RU" sz="65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mdvor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topLeftCell="A3" zoomScale="85" zoomScaleNormal="85" workbookViewId="0">
      <selection activeCell="S15" sqref="S15"/>
    </sheetView>
  </sheetViews>
  <sheetFormatPr defaultColWidth="8.5703125" defaultRowHeight="15" x14ac:dyDescent="0.25"/>
  <cols>
    <col min="1" max="1" width="31" customWidth="1"/>
    <col min="2" max="2" width="5.140625" customWidth="1"/>
    <col min="3" max="3" width="7.28515625" customWidth="1"/>
    <col min="4" max="4" width="6.28515625" customWidth="1"/>
    <col min="5" max="5" width="9.42578125" customWidth="1"/>
    <col min="6" max="6" width="13.42578125" customWidth="1"/>
    <col min="7" max="7" width="6.85546875" customWidth="1"/>
    <col min="8" max="8" width="6.28515625" customWidth="1"/>
    <col min="9" max="9" width="6" customWidth="1"/>
    <col min="10" max="10" width="6.7109375" customWidth="1"/>
    <col min="11" max="11" width="5.140625" customWidth="1"/>
    <col min="12" max="12" width="7.42578125" customWidth="1"/>
    <col min="14" max="14" width="2.5703125" customWidth="1"/>
  </cols>
  <sheetData>
    <row r="1" spans="1:14" x14ac:dyDescent="0.25">
      <c r="A1" s="110" t="s">
        <v>0</v>
      </c>
      <c r="B1" s="110"/>
      <c r="C1" s="111" t="s">
        <v>1</v>
      </c>
      <c r="D1" s="111"/>
      <c r="E1" s="111"/>
      <c r="F1" s="111"/>
      <c r="G1" s="111"/>
      <c r="H1" s="111"/>
      <c r="I1" s="1"/>
      <c r="J1" s="1"/>
      <c r="K1" s="1"/>
      <c r="L1" s="1"/>
      <c r="M1" s="1"/>
      <c r="N1" s="1"/>
    </row>
    <row r="2" spans="1:14" x14ac:dyDescent="0.25">
      <c r="A2" s="110"/>
      <c r="B2" s="110"/>
      <c r="C2" s="112" t="s">
        <v>2</v>
      </c>
      <c r="D2" s="112"/>
      <c r="E2" s="112" t="s">
        <v>3</v>
      </c>
      <c r="F2" s="112"/>
      <c r="G2" s="113" t="s">
        <v>4</v>
      </c>
      <c r="H2" s="113"/>
      <c r="I2" s="1"/>
      <c r="J2" s="1"/>
      <c r="K2" s="1"/>
      <c r="L2" s="1"/>
      <c r="M2" s="1"/>
      <c r="N2" s="1"/>
    </row>
    <row r="3" spans="1:14" ht="18.75" x14ac:dyDescent="0.25">
      <c r="A3" s="3" t="s">
        <v>5</v>
      </c>
      <c r="B3" s="4"/>
      <c r="C3" s="4" t="s">
        <v>6</v>
      </c>
      <c r="D3" s="4" t="s">
        <v>7</v>
      </c>
      <c r="E3" s="4" t="s">
        <v>6</v>
      </c>
      <c r="F3" s="4" t="s">
        <v>7</v>
      </c>
      <c r="G3" s="4" t="s">
        <v>6</v>
      </c>
      <c r="H3" s="5" t="s">
        <v>7</v>
      </c>
      <c r="I3" s="1"/>
      <c r="J3" s="1"/>
      <c r="K3" s="1"/>
      <c r="L3" s="1"/>
      <c r="M3" s="1"/>
      <c r="N3" s="1"/>
    </row>
    <row r="4" spans="1:14" x14ac:dyDescent="0.25">
      <c r="A4" s="6"/>
      <c r="B4" s="7"/>
      <c r="C4" s="8"/>
      <c r="D4" s="7"/>
      <c r="E4" s="8"/>
      <c r="F4" s="7"/>
      <c r="G4" s="8"/>
      <c r="H4" s="9"/>
      <c r="I4" s="1"/>
      <c r="J4" s="1"/>
      <c r="K4" s="1"/>
      <c r="L4" s="1"/>
      <c r="M4" s="1"/>
      <c r="N4" s="1"/>
    </row>
    <row r="5" spans="1:14" x14ac:dyDescent="0.25">
      <c r="A5" s="10" t="s">
        <v>9</v>
      </c>
      <c r="B5" s="11" t="s">
        <v>10</v>
      </c>
      <c r="C5" s="12">
        <v>435</v>
      </c>
      <c r="D5" s="11">
        <f>C5*20</f>
        <v>8700</v>
      </c>
      <c r="E5" s="12">
        <v>430</v>
      </c>
      <c r="F5" s="11">
        <f>E5*20</f>
        <v>8600</v>
      </c>
      <c r="G5" s="12">
        <v>425</v>
      </c>
      <c r="H5" s="13">
        <f>G5*20</f>
        <v>8500</v>
      </c>
      <c r="I5" s="1"/>
      <c r="J5" s="1"/>
      <c r="K5" s="1"/>
      <c r="L5" s="1"/>
      <c r="M5" s="1"/>
      <c r="N5" s="1"/>
    </row>
    <row r="6" spans="1:14" x14ac:dyDescent="0.25">
      <c r="A6" s="103" t="s">
        <v>11</v>
      </c>
      <c r="B6" s="104" t="s">
        <v>8</v>
      </c>
      <c r="C6" s="105">
        <v>200</v>
      </c>
      <c r="D6" s="104">
        <f>C6*40</f>
        <v>8000</v>
      </c>
      <c r="E6" s="106">
        <v>192.5</v>
      </c>
      <c r="F6" s="104">
        <f>E6*40</f>
        <v>7700</v>
      </c>
      <c r="G6" s="105">
        <v>192.5</v>
      </c>
      <c r="H6" s="107">
        <f>G6*40</f>
        <v>7700</v>
      </c>
      <c r="I6" s="1"/>
      <c r="J6" s="1"/>
      <c r="K6" s="1"/>
      <c r="L6" s="1"/>
      <c r="M6" s="1"/>
      <c r="N6" s="1"/>
    </row>
    <row r="7" spans="1:14" x14ac:dyDescent="0.25">
      <c r="A7" s="14" t="s">
        <v>12</v>
      </c>
      <c r="B7" s="15" t="s">
        <v>8</v>
      </c>
      <c r="C7" s="16">
        <v>175</v>
      </c>
      <c r="D7" s="15">
        <f>C7*40</f>
        <v>7000</v>
      </c>
      <c r="E7" s="16">
        <v>170</v>
      </c>
      <c r="F7" s="15">
        <f>E7*40</f>
        <v>6800</v>
      </c>
      <c r="G7" s="16">
        <v>170</v>
      </c>
      <c r="H7" s="17">
        <f>G7*40</f>
        <v>6800</v>
      </c>
      <c r="I7" s="1"/>
      <c r="J7" s="1"/>
      <c r="K7" s="1"/>
      <c r="L7" s="1"/>
      <c r="M7" s="1"/>
      <c r="N7" s="1"/>
    </row>
    <row r="8" spans="1:14" x14ac:dyDescent="0.25">
      <c r="A8" s="10"/>
      <c r="B8" s="11"/>
      <c r="C8" s="12"/>
      <c r="D8" s="11"/>
      <c r="E8" s="12"/>
      <c r="F8" s="11"/>
      <c r="G8" s="12"/>
      <c r="H8" s="13"/>
      <c r="I8" s="1"/>
      <c r="J8" s="1"/>
      <c r="K8" s="1"/>
      <c r="L8" s="1"/>
      <c r="M8" s="1"/>
      <c r="N8" s="1"/>
    </row>
    <row r="9" spans="1:14" x14ac:dyDescent="0.25">
      <c r="A9" s="114" t="s">
        <v>183</v>
      </c>
      <c r="B9" s="114"/>
      <c r="C9" s="114"/>
      <c r="D9" s="114"/>
      <c r="E9" s="114"/>
      <c r="F9" s="114"/>
      <c r="G9" s="114"/>
      <c r="H9" s="114"/>
      <c r="I9" s="1"/>
      <c r="J9" s="1"/>
      <c r="K9" s="1"/>
      <c r="L9" s="1"/>
      <c r="M9" s="1"/>
      <c r="N9" s="1"/>
    </row>
    <row r="10" spans="1:14" x14ac:dyDescent="0.25">
      <c r="A10" s="18"/>
      <c r="B10" s="115"/>
      <c r="C10" s="115"/>
      <c r="D10" s="19"/>
      <c r="E10" s="20"/>
      <c r="F10" s="20"/>
      <c r="G10" s="20"/>
      <c r="H10" s="21"/>
      <c r="I10" s="1"/>
      <c r="J10" s="1"/>
      <c r="K10" s="1"/>
      <c r="L10" s="1"/>
      <c r="M10" s="1"/>
      <c r="N10" s="1"/>
    </row>
    <row r="11" spans="1:14" ht="13.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22" t="s">
        <v>188</v>
      </c>
      <c r="K11" s="22"/>
      <c r="L11" s="22"/>
      <c r="M11" s="22"/>
      <c r="N11" s="1"/>
    </row>
    <row r="12" spans="1:14" ht="18.75" x14ac:dyDescent="0.25">
      <c r="A12" s="23" t="s">
        <v>13</v>
      </c>
      <c r="B12" s="24" t="s">
        <v>6</v>
      </c>
      <c r="C12" s="24" t="s">
        <v>14</v>
      </c>
      <c r="D12" s="116" t="s">
        <v>15</v>
      </c>
      <c r="E12" s="116"/>
      <c r="F12" s="116"/>
      <c r="G12" s="24" t="s">
        <v>6</v>
      </c>
      <c r="H12" s="26" t="s">
        <v>16</v>
      </c>
      <c r="I12" s="27"/>
      <c r="J12" s="27"/>
      <c r="K12" s="27"/>
      <c r="L12" s="27" t="s">
        <v>17</v>
      </c>
      <c r="M12" s="27"/>
      <c r="N12" s="27"/>
    </row>
    <row r="13" spans="1:14" s="31" customFormat="1" x14ac:dyDescent="0.25">
      <c r="A13" s="108" t="s">
        <v>18</v>
      </c>
      <c r="B13" s="105">
        <v>65</v>
      </c>
      <c r="C13" s="105">
        <v>1200</v>
      </c>
      <c r="D13" s="117"/>
      <c r="E13" s="117"/>
      <c r="F13" s="117"/>
      <c r="G13" s="29"/>
      <c r="H13" s="30"/>
      <c r="I13" s="27"/>
      <c r="J13" s="27"/>
      <c r="K13" s="27"/>
      <c r="L13" s="27"/>
      <c r="M13" s="27"/>
      <c r="N13" s="27"/>
    </row>
    <row r="14" spans="1:14" s="31" customFormat="1" x14ac:dyDescent="0.25">
      <c r="A14" s="108" t="s">
        <v>185</v>
      </c>
      <c r="B14" s="105">
        <v>80</v>
      </c>
      <c r="C14" s="104">
        <v>1250</v>
      </c>
      <c r="D14" s="118" t="s">
        <v>19</v>
      </c>
      <c r="E14" s="118"/>
      <c r="F14" s="32" t="s">
        <v>20</v>
      </c>
      <c r="G14" s="12"/>
      <c r="H14" s="13">
        <v>1000</v>
      </c>
      <c r="I14" s="27"/>
      <c r="J14" s="27"/>
      <c r="K14" s="27"/>
      <c r="L14" s="27"/>
      <c r="M14" s="27"/>
      <c r="N14" s="27"/>
    </row>
    <row r="15" spans="1:14" s="31" customFormat="1" ht="18.600000000000001" customHeight="1" x14ac:dyDescent="0.25">
      <c r="A15" s="28" t="s">
        <v>21</v>
      </c>
      <c r="B15" s="12"/>
      <c r="C15" s="11">
        <v>1000</v>
      </c>
      <c r="D15" s="119" t="s">
        <v>22</v>
      </c>
      <c r="E15" s="119"/>
      <c r="F15" s="109" t="s">
        <v>23</v>
      </c>
      <c r="G15" s="105">
        <v>60</v>
      </c>
      <c r="H15" s="107">
        <v>1150</v>
      </c>
      <c r="I15" s="27"/>
      <c r="J15" s="33"/>
      <c r="K15" s="33"/>
      <c r="L15" s="33"/>
      <c r="M15" s="33"/>
      <c r="N15" s="33"/>
    </row>
    <row r="16" spans="1:14" s="31" customFormat="1" ht="14.45" customHeight="1" x14ac:dyDescent="0.25">
      <c r="A16" s="108" t="s">
        <v>24</v>
      </c>
      <c r="B16" s="105">
        <v>70</v>
      </c>
      <c r="C16" s="104">
        <v>1100</v>
      </c>
      <c r="D16" s="120" t="s">
        <v>25</v>
      </c>
      <c r="E16" s="120"/>
      <c r="F16" s="32" t="s">
        <v>23</v>
      </c>
      <c r="G16" s="12"/>
      <c r="H16" s="13">
        <v>950</v>
      </c>
      <c r="I16" s="27"/>
      <c r="J16" s="33"/>
      <c r="K16" s="33"/>
      <c r="L16" s="33"/>
      <c r="M16" s="33"/>
      <c r="N16" s="33"/>
    </row>
    <row r="17" spans="1:17" s="31" customFormat="1" ht="14.45" customHeight="1" x14ac:dyDescent="0.25">
      <c r="A17" s="28" t="s">
        <v>186</v>
      </c>
      <c r="B17" s="12"/>
      <c r="C17" s="11">
        <v>1300</v>
      </c>
      <c r="D17" s="118" t="s">
        <v>26</v>
      </c>
      <c r="E17" s="118"/>
      <c r="F17" s="32" t="s">
        <v>23</v>
      </c>
      <c r="G17" s="12">
        <v>75</v>
      </c>
      <c r="H17" s="13">
        <v>1200</v>
      </c>
      <c r="I17" s="27"/>
      <c r="J17" s="33"/>
      <c r="K17" s="33"/>
      <c r="L17" s="33"/>
      <c r="M17" s="33"/>
      <c r="N17" s="33"/>
    </row>
    <row r="18" spans="1:17" s="31" customFormat="1" ht="14.45" customHeight="1" x14ac:dyDescent="0.25">
      <c r="A18" s="28" t="s">
        <v>27</v>
      </c>
      <c r="B18" s="12"/>
      <c r="C18" s="11">
        <v>950</v>
      </c>
      <c r="D18" s="118" t="s">
        <v>28</v>
      </c>
      <c r="E18" s="118"/>
      <c r="F18" s="34" t="s">
        <v>29</v>
      </c>
      <c r="G18" s="12"/>
      <c r="H18" s="13">
        <v>1300</v>
      </c>
      <c r="I18" s="27"/>
      <c r="J18" s="33"/>
      <c r="K18" s="33"/>
      <c r="L18" s="33"/>
      <c r="M18" s="33"/>
      <c r="N18" s="33"/>
    </row>
    <row r="19" spans="1:17" s="31" customFormat="1" ht="15" customHeight="1" x14ac:dyDescent="0.85">
      <c r="A19" s="35" t="s">
        <v>30</v>
      </c>
      <c r="B19" s="36">
        <v>45</v>
      </c>
      <c r="C19" s="37">
        <v>700</v>
      </c>
      <c r="D19" s="118" t="s">
        <v>187</v>
      </c>
      <c r="E19" s="118"/>
      <c r="F19" s="38" t="s">
        <v>20</v>
      </c>
      <c r="G19" s="12"/>
      <c r="H19" s="13">
        <v>800</v>
      </c>
      <c r="I19" s="1"/>
      <c r="J19" s="39"/>
      <c r="K19" s="39"/>
      <c r="L19" s="39"/>
      <c r="M19" s="39"/>
      <c r="N19" s="39"/>
    </row>
    <row r="20" spans="1:17" ht="14.45" customHeight="1" x14ac:dyDescent="0.25">
      <c r="A20" s="40" t="s">
        <v>31</v>
      </c>
      <c r="B20" s="41">
        <v>45</v>
      </c>
      <c r="C20" s="42">
        <v>700</v>
      </c>
      <c r="D20" s="121" t="s">
        <v>32</v>
      </c>
      <c r="E20" s="121"/>
      <c r="F20" s="121"/>
      <c r="G20" s="43"/>
      <c r="H20" s="44">
        <v>1050</v>
      </c>
      <c r="I20" s="27"/>
      <c r="J20" s="33"/>
      <c r="K20" s="33"/>
      <c r="L20" s="33"/>
      <c r="M20" s="33"/>
      <c r="N20" s="33"/>
    </row>
    <row r="21" spans="1:17" s="31" customFormat="1" ht="17.45" customHeight="1" x14ac:dyDescent="0.25">
      <c r="A21" s="45" t="s">
        <v>33</v>
      </c>
      <c r="B21" s="4"/>
      <c r="C21" s="2">
        <v>600</v>
      </c>
      <c r="D21" s="117" t="s">
        <v>34</v>
      </c>
      <c r="E21" s="117"/>
      <c r="F21" s="117"/>
      <c r="G21" s="46"/>
      <c r="H21" s="47">
        <v>1150</v>
      </c>
      <c r="I21" s="122" t="s">
        <v>35</v>
      </c>
      <c r="J21" s="122"/>
      <c r="K21" s="122"/>
      <c r="L21" s="122"/>
      <c r="M21" s="122"/>
      <c r="N21" s="122"/>
    </row>
    <row r="22" spans="1:17" s="31" customFormat="1" ht="14.45" customHeight="1" x14ac:dyDescent="0.25">
      <c r="A22" s="48" t="s">
        <v>36</v>
      </c>
      <c r="B22" s="49" t="s">
        <v>37</v>
      </c>
      <c r="C22" s="49" t="s">
        <v>38</v>
      </c>
      <c r="D22" s="123" t="s">
        <v>48</v>
      </c>
      <c r="E22" s="123"/>
      <c r="F22" s="123"/>
      <c r="G22" s="50" t="s">
        <v>39</v>
      </c>
      <c r="H22" s="51" t="s">
        <v>38</v>
      </c>
      <c r="I22" s="122"/>
      <c r="J22" s="122"/>
      <c r="K22" s="122"/>
      <c r="L22" s="122"/>
      <c r="M22" s="122"/>
      <c r="N22" s="122"/>
    </row>
    <row r="23" spans="1:17" s="31" customFormat="1" ht="14.45" customHeight="1" x14ac:dyDescent="0.25">
      <c r="A23" s="28" t="s">
        <v>40</v>
      </c>
      <c r="B23" s="11" t="s">
        <v>8</v>
      </c>
      <c r="C23" s="12">
        <v>400</v>
      </c>
      <c r="D23" s="118" t="s">
        <v>41</v>
      </c>
      <c r="E23" s="118"/>
      <c r="F23" s="118"/>
      <c r="G23" s="11" t="s">
        <v>42</v>
      </c>
      <c r="H23" s="52">
        <v>605</v>
      </c>
      <c r="I23" s="122"/>
      <c r="J23" s="122"/>
      <c r="K23" s="122"/>
      <c r="L23" s="122"/>
      <c r="M23" s="122"/>
      <c r="N23" s="122"/>
      <c r="Q23" s="53"/>
    </row>
    <row r="24" spans="1:17" s="31" customFormat="1" ht="14.45" customHeight="1" x14ac:dyDescent="0.25">
      <c r="A24" s="28" t="s">
        <v>43</v>
      </c>
      <c r="B24" s="11" t="s">
        <v>8</v>
      </c>
      <c r="C24" s="12">
        <v>410</v>
      </c>
      <c r="D24" s="118"/>
      <c r="E24" s="118"/>
      <c r="F24" s="118"/>
      <c r="G24" s="11"/>
      <c r="H24" s="52"/>
      <c r="I24" s="27"/>
      <c r="J24" s="33"/>
      <c r="K24" s="33"/>
      <c r="L24" s="33"/>
      <c r="M24" s="33"/>
      <c r="N24" s="33"/>
    </row>
    <row r="25" spans="1:17" s="31" customFormat="1" ht="15" customHeight="1" x14ac:dyDescent="0.85">
      <c r="A25" s="28" t="s">
        <v>44</v>
      </c>
      <c r="B25" s="11" t="s">
        <v>42</v>
      </c>
      <c r="C25" s="12">
        <v>430</v>
      </c>
      <c r="D25" s="118" t="s">
        <v>45</v>
      </c>
      <c r="E25" s="118"/>
      <c r="F25" s="118"/>
      <c r="G25" s="11" t="s">
        <v>8</v>
      </c>
      <c r="H25" s="52">
        <v>650</v>
      </c>
      <c r="I25" s="1"/>
      <c r="J25" s="39"/>
      <c r="K25" s="39"/>
      <c r="L25" s="39"/>
      <c r="M25" s="39"/>
      <c r="N25" s="39"/>
    </row>
    <row r="26" spans="1:17" ht="13.15" customHeight="1" x14ac:dyDescent="0.25">
      <c r="A26" s="54" t="s">
        <v>46</v>
      </c>
      <c r="B26" s="55" t="s">
        <v>42</v>
      </c>
      <c r="C26" s="19">
        <v>555</v>
      </c>
      <c r="D26" s="124"/>
      <c r="E26" s="124"/>
      <c r="F26" s="124"/>
      <c r="G26" s="56"/>
      <c r="H26" s="57"/>
      <c r="I26" s="27"/>
      <c r="J26" s="33"/>
      <c r="K26" s="33"/>
      <c r="L26" s="33"/>
      <c r="M26" s="33"/>
      <c r="N26" s="33"/>
    </row>
    <row r="27" spans="1:17" s="31" customFormat="1" ht="17.45" customHeight="1" x14ac:dyDescent="0.25">
      <c r="A27" s="1"/>
      <c r="B27" s="1"/>
      <c r="C27" s="1"/>
      <c r="D27" s="1"/>
      <c r="E27" s="1"/>
      <c r="F27" s="1"/>
      <c r="G27" s="1"/>
      <c r="H27" s="1"/>
      <c r="I27" s="125" t="s">
        <v>47</v>
      </c>
      <c r="J27" s="125"/>
      <c r="K27" s="125"/>
      <c r="L27" s="125"/>
      <c r="M27" s="125"/>
      <c r="N27" s="125"/>
    </row>
    <row r="28" spans="1:17" s="31" customFormat="1" ht="14.45" customHeight="1" x14ac:dyDescent="0.25">
      <c r="A28" s="23" t="s">
        <v>48</v>
      </c>
      <c r="B28" s="25"/>
      <c r="C28" s="25"/>
      <c r="D28" s="25"/>
      <c r="E28" s="25"/>
      <c r="F28" s="25"/>
      <c r="G28" s="25"/>
      <c r="H28" s="58"/>
      <c r="I28" s="125"/>
      <c r="J28" s="125"/>
      <c r="K28" s="125"/>
      <c r="L28" s="125"/>
      <c r="M28" s="125"/>
      <c r="N28" s="125"/>
    </row>
    <row r="29" spans="1:17" s="31" customFormat="1" ht="17.45" customHeight="1" x14ac:dyDescent="0.25">
      <c r="A29" s="28" t="s">
        <v>49</v>
      </c>
      <c r="B29" s="11" t="s">
        <v>8</v>
      </c>
      <c r="C29" s="12">
        <v>450</v>
      </c>
      <c r="D29" s="118" t="s">
        <v>50</v>
      </c>
      <c r="E29" s="118"/>
      <c r="F29" s="118"/>
      <c r="G29" s="11" t="s">
        <v>8</v>
      </c>
      <c r="H29" s="52">
        <v>500</v>
      </c>
      <c r="I29" s="125"/>
      <c r="J29" s="125"/>
      <c r="K29" s="125"/>
      <c r="L29" s="125"/>
      <c r="M29" s="125"/>
      <c r="N29" s="125"/>
    </row>
    <row r="30" spans="1:17" s="31" customFormat="1" ht="14.45" customHeight="1" x14ac:dyDescent="0.25">
      <c r="A30" s="59" t="s">
        <v>51</v>
      </c>
      <c r="B30" s="60"/>
      <c r="C30" s="60"/>
      <c r="D30" s="60"/>
      <c r="E30" s="60"/>
      <c r="F30" s="60"/>
      <c r="G30" s="60"/>
      <c r="H30" s="61"/>
      <c r="I30" s="1"/>
      <c r="J30" s="1"/>
      <c r="K30" s="1"/>
      <c r="L30" s="1"/>
      <c r="M30" s="1"/>
      <c r="N30" s="1"/>
    </row>
    <row r="31" spans="1:17" x14ac:dyDescent="0.25">
      <c r="A31" s="28" t="s">
        <v>52</v>
      </c>
      <c r="B31" s="11" t="s">
        <v>53</v>
      </c>
      <c r="C31" s="12">
        <v>950</v>
      </c>
      <c r="D31" s="118" t="s">
        <v>54</v>
      </c>
      <c r="E31" s="118"/>
      <c r="F31" s="118"/>
      <c r="G31" s="11" t="s">
        <v>8</v>
      </c>
      <c r="H31" s="52">
        <v>450</v>
      </c>
      <c r="I31" s="1"/>
      <c r="J31" s="126" t="s">
        <v>55</v>
      </c>
      <c r="K31" s="126"/>
      <c r="L31" s="126"/>
      <c r="M31" s="126"/>
      <c r="N31" s="1"/>
    </row>
    <row r="32" spans="1:17" x14ac:dyDescent="0.25">
      <c r="A32" s="10" t="s">
        <v>52</v>
      </c>
      <c r="B32" s="11" t="s">
        <v>56</v>
      </c>
      <c r="C32" s="12">
        <v>500</v>
      </c>
      <c r="D32" s="4"/>
      <c r="E32" s="4"/>
      <c r="F32" s="4"/>
      <c r="G32" s="62"/>
      <c r="H32" s="5"/>
      <c r="I32" s="1"/>
      <c r="J32" s="126"/>
      <c r="K32" s="126"/>
      <c r="L32" s="126"/>
      <c r="M32" s="126"/>
      <c r="N32" s="1"/>
    </row>
    <row r="33" spans="1:14" ht="18.75" x14ac:dyDescent="0.4">
      <c r="A33" s="63" t="s">
        <v>57</v>
      </c>
      <c r="B33" s="64"/>
      <c r="C33" s="64"/>
      <c r="D33" s="64"/>
      <c r="E33" s="64"/>
      <c r="F33" s="64"/>
      <c r="G33" s="64"/>
      <c r="H33" s="65"/>
      <c r="I33" s="1"/>
      <c r="J33" s="66"/>
      <c r="K33" s="66"/>
      <c r="L33" s="66"/>
      <c r="M33" s="1"/>
      <c r="N33" s="1"/>
    </row>
    <row r="34" spans="1:14" ht="11.45" customHeight="1" thickBot="1" x14ac:dyDescent="0.3">
      <c r="A34" s="67" t="s">
        <v>181</v>
      </c>
      <c r="B34" s="55" t="s">
        <v>8</v>
      </c>
      <c r="C34" s="19">
        <v>400</v>
      </c>
      <c r="D34" s="127"/>
      <c r="E34" s="127"/>
      <c r="F34" s="127"/>
      <c r="G34" s="68"/>
      <c r="H34" s="69"/>
      <c r="I34" s="128" t="s">
        <v>58</v>
      </c>
      <c r="J34" s="128"/>
      <c r="K34" s="128"/>
      <c r="L34" s="70" t="s">
        <v>59</v>
      </c>
      <c r="M34" s="71" t="s">
        <v>60</v>
      </c>
      <c r="N34" s="1"/>
    </row>
    <row r="35" spans="1:14" ht="17.25" customHeight="1" thickBot="1" x14ac:dyDescent="0.3">
      <c r="A35" s="72"/>
      <c r="B35" s="73"/>
      <c r="C35" s="74"/>
      <c r="D35" s="75"/>
      <c r="E35" s="75"/>
      <c r="F35" s="75"/>
      <c r="G35" s="76"/>
      <c r="H35" s="74"/>
      <c r="I35" s="128"/>
      <c r="J35" s="128"/>
      <c r="K35" s="128"/>
      <c r="L35" s="11">
        <v>10</v>
      </c>
      <c r="M35" s="52">
        <v>46</v>
      </c>
      <c r="N35" s="1"/>
    </row>
    <row r="36" spans="1:14" ht="13.5" customHeight="1" thickBot="1" x14ac:dyDescent="0.3">
      <c r="A36" s="10"/>
      <c r="B36" s="77"/>
      <c r="C36" s="77"/>
      <c r="D36" s="2"/>
      <c r="E36" s="4"/>
      <c r="F36" s="78"/>
      <c r="G36" s="76"/>
      <c r="H36" s="76"/>
      <c r="I36" s="128"/>
      <c r="J36" s="128"/>
      <c r="K36" s="128"/>
      <c r="L36" s="11">
        <v>20</v>
      </c>
      <c r="M36" s="52">
        <v>66</v>
      </c>
      <c r="N36" s="1"/>
    </row>
    <row r="37" spans="1:14" ht="13.9" customHeight="1" thickBot="1" x14ac:dyDescent="0.3">
      <c r="A37" s="67"/>
      <c r="B37" s="79"/>
      <c r="C37" s="79"/>
      <c r="D37" s="80"/>
      <c r="E37" s="68"/>
      <c r="F37" s="81"/>
      <c r="G37" s="76"/>
      <c r="H37" s="76"/>
      <c r="I37" s="129" t="s">
        <v>62</v>
      </c>
      <c r="J37" s="129"/>
      <c r="K37" s="129"/>
      <c r="L37" s="70" t="s">
        <v>63</v>
      </c>
      <c r="M37" s="82" t="s">
        <v>64</v>
      </c>
      <c r="N37" s="1"/>
    </row>
    <row r="38" spans="1:14" ht="21.75" customHeight="1" thickBot="1" x14ac:dyDescent="0.3">
      <c r="A38" s="1"/>
      <c r="B38" s="1"/>
      <c r="C38" s="1"/>
      <c r="D38" s="1"/>
      <c r="E38" s="1"/>
      <c r="F38" s="1"/>
      <c r="G38" s="76"/>
      <c r="H38" s="76"/>
      <c r="I38" s="129"/>
      <c r="J38" s="129"/>
      <c r="K38" s="129"/>
      <c r="L38" s="19">
        <v>20</v>
      </c>
      <c r="M38" s="69">
        <v>9000</v>
      </c>
      <c r="N38" s="1"/>
    </row>
    <row r="39" spans="1:14" ht="20.25" x14ac:dyDescent="0.4">
      <c r="A39" s="83" t="s">
        <v>65</v>
      </c>
      <c r="B39" s="84"/>
      <c r="C39" s="84"/>
      <c r="D39" s="84"/>
      <c r="E39" s="24" t="s">
        <v>63</v>
      </c>
      <c r="F39" s="24" t="s">
        <v>66</v>
      </c>
      <c r="G39" s="26" t="s">
        <v>64</v>
      </c>
      <c r="H39" s="1"/>
      <c r="I39" s="130" t="s">
        <v>67</v>
      </c>
      <c r="J39" s="130"/>
      <c r="K39" s="130"/>
      <c r="L39" s="130"/>
      <c r="M39" s="130"/>
      <c r="N39" s="1"/>
    </row>
    <row r="40" spans="1:14" x14ac:dyDescent="0.25">
      <c r="A40" s="10" t="s">
        <v>68</v>
      </c>
      <c r="B40" s="112" t="s">
        <v>69</v>
      </c>
      <c r="C40" s="112"/>
      <c r="D40" s="112"/>
      <c r="E40" s="85">
        <v>76.8</v>
      </c>
      <c r="F40" s="118">
        <v>6400</v>
      </c>
      <c r="G40" s="131">
        <v>11520</v>
      </c>
      <c r="H40" s="1"/>
      <c r="I40" s="132"/>
      <c r="J40" s="132"/>
      <c r="K40" s="132"/>
      <c r="L40" s="132"/>
      <c r="M40" s="132"/>
      <c r="N40" s="1"/>
    </row>
    <row r="41" spans="1:14" x14ac:dyDescent="0.25">
      <c r="A41" s="10" t="s">
        <v>61</v>
      </c>
      <c r="B41" s="112" t="s">
        <v>70</v>
      </c>
      <c r="C41" s="112"/>
      <c r="D41" s="112"/>
      <c r="E41" s="85">
        <v>230.4</v>
      </c>
      <c r="F41" s="118"/>
      <c r="G41" s="131"/>
      <c r="H41" s="1"/>
      <c r="I41" s="132"/>
      <c r="J41" s="132"/>
      <c r="K41" s="132"/>
      <c r="L41" s="132"/>
      <c r="M41" s="132"/>
      <c r="N41" s="1"/>
    </row>
    <row r="42" spans="1:14" x14ac:dyDescent="0.25">
      <c r="A42" s="87" t="s">
        <v>182</v>
      </c>
      <c r="B42" s="112"/>
      <c r="C42" s="112"/>
      <c r="D42" s="112"/>
      <c r="E42" s="88"/>
      <c r="F42" s="88"/>
      <c r="G42" s="89"/>
      <c r="H42" s="1"/>
      <c r="I42" s="132"/>
      <c r="J42" s="132"/>
      <c r="K42" s="132"/>
      <c r="L42" s="132"/>
      <c r="M42" s="132"/>
      <c r="N42" s="1"/>
    </row>
    <row r="43" spans="1:14" ht="4.9000000000000004" customHeight="1" x14ac:dyDescent="0.25">
      <c r="A43" s="72"/>
      <c r="B43" s="86"/>
      <c r="C43" s="86"/>
      <c r="D43" s="86"/>
      <c r="E43" s="72"/>
      <c r="F43" s="74"/>
      <c r="G43" s="74"/>
      <c r="H43" s="1"/>
      <c r="I43" s="1"/>
      <c r="J43" s="66"/>
      <c r="K43" s="66"/>
      <c r="L43" s="66"/>
      <c r="M43" s="1"/>
      <c r="N43" s="1"/>
    </row>
    <row r="44" spans="1:14" x14ac:dyDescent="0.25">
      <c r="A44" s="1"/>
      <c r="B44" s="1"/>
      <c r="C44" s="1"/>
      <c r="D44" s="1"/>
      <c r="E44" s="1"/>
      <c r="F44" s="75"/>
      <c r="G44" s="76"/>
      <c r="H44" s="1"/>
      <c r="I44" s="1"/>
      <c r="J44" s="66"/>
      <c r="K44" s="66"/>
      <c r="L44" s="66"/>
      <c r="M44" s="1"/>
      <c r="N44" s="1"/>
    </row>
    <row r="45" spans="1:14" x14ac:dyDescent="0.25">
      <c r="A45" s="1"/>
      <c r="B45" s="1"/>
    </row>
    <row r="46" spans="1:14" ht="22.7" customHeight="1" x14ac:dyDescent="0.25">
      <c r="A46" s="1"/>
      <c r="B46" s="1"/>
    </row>
    <row r="47" spans="1:14" x14ac:dyDescent="0.25">
      <c r="A47" s="1"/>
      <c r="B47" s="1"/>
    </row>
    <row r="48" spans="1:14" x14ac:dyDescent="0.25">
      <c r="A48" s="1"/>
      <c r="B48" s="1"/>
    </row>
    <row r="49" spans="1:14" x14ac:dyDescent="0.25">
      <c r="A49" s="1"/>
      <c r="B49" s="1"/>
    </row>
    <row r="50" spans="1:14" x14ac:dyDescent="0.25">
      <c r="A50" s="1"/>
      <c r="B50" s="1"/>
    </row>
    <row r="51" spans="1:14" x14ac:dyDescent="0.25">
      <c r="A51" s="1"/>
      <c r="B51" s="1"/>
    </row>
    <row r="52" spans="1:14" x14ac:dyDescent="0.25">
      <c r="A52" s="1"/>
      <c r="B52" s="1"/>
    </row>
    <row r="53" spans="1:14" x14ac:dyDescent="0.25">
      <c r="A53" s="1"/>
      <c r="B53" s="1"/>
    </row>
    <row r="54" spans="1:14" x14ac:dyDescent="0.25">
      <c r="A54" s="1"/>
      <c r="B54" s="1"/>
    </row>
    <row r="55" spans="1:14" x14ac:dyDescent="0.25">
      <c r="A55" s="1"/>
      <c r="B55" s="1"/>
    </row>
    <row r="56" spans="1:14" x14ac:dyDescent="0.25">
      <c r="A56" s="1"/>
      <c r="B56" s="1"/>
    </row>
    <row r="57" spans="1:14" ht="13.9" customHeight="1" x14ac:dyDescent="0.25">
      <c r="A57" s="1"/>
      <c r="B57" s="1"/>
    </row>
    <row r="58" spans="1:14" x14ac:dyDescent="0.25">
      <c r="A58" s="1"/>
      <c r="B58" s="1"/>
    </row>
    <row r="59" spans="1:14" x14ac:dyDescent="0.25">
      <c r="A59" s="1"/>
      <c r="B59" s="1"/>
    </row>
    <row r="60" spans="1:14" x14ac:dyDescent="0.25">
      <c r="A60" s="1"/>
      <c r="B60" s="1"/>
    </row>
    <row r="61" spans="1:14" ht="6.6" customHeight="1" x14ac:dyDescent="0.25">
      <c r="J61" s="1"/>
      <c r="K61" s="1"/>
      <c r="L61" s="1"/>
      <c r="M61" s="1"/>
      <c r="N61" s="1"/>
    </row>
  </sheetData>
  <mergeCells count="37">
    <mergeCell ref="I39:M39"/>
    <mergeCell ref="B40:D40"/>
    <mergeCell ref="F40:F41"/>
    <mergeCell ref="G40:G41"/>
    <mergeCell ref="I40:M42"/>
    <mergeCell ref="B41:D41"/>
    <mergeCell ref="B42:D42"/>
    <mergeCell ref="D31:F31"/>
    <mergeCell ref="J31:M32"/>
    <mergeCell ref="D34:F34"/>
    <mergeCell ref="I34:K36"/>
    <mergeCell ref="I37:K38"/>
    <mergeCell ref="D24:F24"/>
    <mergeCell ref="D25:F25"/>
    <mergeCell ref="D26:F26"/>
    <mergeCell ref="I27:N29"/>
    <mergeCell ref="D29:F29"/>
    <mergeCell ref="D20:F20"/>
    <mergeCell ref="D21:F21"/>
    <mergeCell ref="I21:N23"/>
    <mergeCell ref="D22:F22"/>
    <mergeCell ref="D23:F23"/>
    <mergeCell ref="D15:E15"/>
    <mergeCell ref="D16:E16"/>
    <mergeCell ref="D17:E17"/>
    <mergeCell ref="D18:E18"/>
    <mergeCell ref="D19:E19"/>
    <mergeCell ref="A9:H9"/>
    <mergeCell ref="B10:C10"/>
    <mergeCell ref="D12:F12"/>
    <mergeCell ref="D13:F13"/>
    <mergeCell ref="D14:E14"/>
    <mergeCell ref="A1:B2"/>
    <mergeCell ref="C1:H1"/>
    <mergeCell ref="C2:D2"/>
    <mergeCell ref="E2:F2"/>
    <mergeCell ref="G2:H2"/>
  </mergeCells>
  <hyperlinks>
    <hyperlink ref="J31" r:id="rId1"/>
  </hyperlinks>
  <pageMargins left="0.78749999999999998" right="0.78749999999999998" top="1.05277777777778" bottom="1.05277777777778" header="0.78749999999999998" footer="0.78749999999999998"/>
  <pageSetup paperSize="9" orientation="portrait" horizontalDpi="300" verticalDpi="300" r:id="rId2"/>
  <headerFooter>
    <oddHeader>&amp;C&amp;"Times New Roman,Обычный"&amp;12&amp;Kffffff&amp;A</oddHeader>
    <oddFooter>&amp;C&amp;"Times New Roman,Обычный"&amp;12&amp;KffffffСтраница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zoomScale="75" zoomScaleNormal="75" workbookViewId="0">
      <selection activeCell="J35" sqref="J35"/>
    </sheetView>
  </sheetViews>
  <sheetFormatPr defaultColWidth="8.5703125" defaultRowHeight="15" x14ac:dyDescent="0.25"/>
  <cols>
    <col min="1" max="1" width="11.28515625" customWidth="1"/>
    <col min="2" max="2" width="14.140625" customWidth="1"/>
    <col min="3" max="3" width="5.140625" customWidth="1"/>
    <col min="4" max="4" width="8.28515625" customWidth="1"/>
    <col min="5" max="5" width="12.42578125" customWidth="1"/>
    <col min="6" max="6" width="1.85546875" customWidth="1"/>
    <col min="7" max="7" width="10.28515625" customWidth="1"/>
    <col min="8" max="8" width="11.5703125" customWidth="1"/>
    <col min="9" max="9" width="5.42578125" customWidth="1"/>
    <col min="11" max="11" width="9.5703125" customWidth="1"/>
    <col min="12" max="12" width="7.28515625" style="90" customWidth="1"/>
    <col min="13" max="13" width="5.85546875" customWidth="1"/>
    <col min="14" max="14" width="14.140625" customWidth="1"/>
    <col min="15" max="15" width="11" customWidth="1"/>
  </cols>
  <sheetData>
    <row r="1" spans="1:15" ht="31.9" customHeight="1" x14ac:dyDescent="0.25">
      <c r="A1" s="133" t="s">
        <v>72</v>
      </c>
      <c r="B1" s="133"/>
      <c r="C1" s="91" t="s">
        <v>73</v>
      </c>
      <c r="D1" s="92" t="s">
        <v>74</v>
      </c>
      <c r="E1" s="91" t="s">
        <v>75</v>
      </c>
      <c r="F1" s="93"/>
      <c r="G1" s="134" t="s">
        <v>72</v>
      </c>
      <c r="H1" s="134"/>
      <c r="I1" s="91" t="s">
        <v>73</v>
      </c>
      <c r="J1" s="92" t="s">
        <v>74</v>
      </c>
      <c r="K1" s="94" t="s">
        <v>75</v>
      </c>
      <c r="L1" s="135" t="s">
        <v>76</v>
      </c>
      <c r="M1" s="136" t="s">
        <v>184</v>
      </c>
      <c r="N1" s="1"/>
      <c r="O1" s="1"/>
    </row>
    <row r="2" spans="1:15" ht="18.75" x14ac:dyDescent="0.4">
      <c r="A2" s="137" t="s">
        <v>77</v>
      </c>
      <c r="B2" s="137"/>
      <c r="C2" s="137"/>
      <c r="D2" s="137"/>
      <c r="E2" s="137"/>
      <c r="F2" s="76"/>
      <c r="G2" s="138" t="s">
        <v>78</v>
      </c>
      <c r="H2" s="138"/>
      <c r="I2" s="138"/>
      <c r="J2" s="138"/>
      <c r="K2" s="138"/>
      <c r="L2" s="135"/>
      <c r="M2" s="136"/>
      <c r="N2" s="1"/>
      <c r="O2" s="1"/>
    </row>
    <row r="3" spans="1:15" ht="14.45" customHeight="1" x14ac:dyDescent="0.25">
      <c r="A3" s="139" t="s">
        <v>79</v>
      </c>
      <c r="B3" s="11">
        <v>8</v>
      </c>
      <c r="C3" s="4"/>
      <c r="D3" s="4">
        <v>56500</v>
      </c>
      <c r="E3" s="95">
        <f>(0.43*D3)/1000</f>
        <v>24.295000000000002</v>
      </c>
      <c r="F3" s="76"/>
      <c r="G3" s="140" t="s">
        <v>80</v>
      </c>
      <c r="H3" s="11" t="s">
        <v>81</v>
      </c>
      <c r="I3" s="4"/>
      <c r="J3" s="4">
        <v>59000</v>
      </c>
      <c r="K3" s="96">
        <f>(1.1*J3)/1000</f>
        <v>64.900000000000006</v>
      </c>
      <c r="L3" s="97">
        <v>6</v>
      </c>
      <c r="M3" s="136"/>
      <c r="N3" s="1"/>
      <c r="O3" s="1"/>
    </row>
    <row r="4" spans="1:15" x14ac:dyDescent="0.25">
      <c r="A4" s="139"/>
      <c r="B4" s="11">
        <v>10</v>
      </c>
      <c r="C4" s="4"/>
      <c r="D4" s="4">
        <v>56000</v>
      </c>
      <c r="E4" s="95">
        <f>(0.64*D4)/1000</f>
        <v>35.840000000000003</v>
      </c>
      <c r="F4" s="76"/>
      <c r="G4" s="140"/>
      <c r="H4" s="11" t="s">
        <v>82</v>
      </c>
      <c r="I4" s="4"/>
      <c r="J4" s="98">
        <v>58500</v>
      </c>
      <c r="K4" s="96">
        <f>(1.4*J4)/1000</f>
        <v>81.900000000000006</v>
      </c>
      <c r="L4" s="97">
        <v>6</v>
      </c>
      <c r="M4" s="136"/>
      <c r="N4" s="1"/>
      <c r="O4" s="1"/>
    </row>
    <row r="5" spans="1:15" x14ac:dyDescent="0.25">
      <c r="A5" s="139"/>
      <c r="B5" s="11">
        <v>12</v>
      </c>
      <c r="C5" s="4"/>
      <c r="D5" s="4">
        <v>46500</v>
      </c>
      <c r="E5" s="95">
        <f>(0.92*D5)/1000</f>
        <v>42.78</v>
      </c>
      <c r="F5" s="76"/>
      <c r="G5" s="140"/>
      <c r="H5" s="11" t="s">
        <v>83</v>
      </c>
      <c r="I5" s="4"/>
      <c r="J5" s="98">
        <v>61000</v>
      </c>
      <c r="K5" s="96">
        <f>(1.4*J5)/1000</f>
        <v>85.4</v>
      </c>
      <c r="L5" s="97">
        <v>6</v>
      </c>
      <c r="M5" s="136"/>
      <c r="N5" s="1"/>
      <c r="O5" s="1"/>
    </row>
    <row r="6" spans="1:15" x14ac:dyDescent="0.25">
      <c r="A6" s="139"/>
      <c r="B6" s="11">
        <v>14</v>
      </c>
      <c r="C6" s="4"/>
      <c r="D6" s="4">
        <v>49000</v>
      </c>
      <c r="E6" s="95">
        <f>(1.25*D6)/1000</f>
        <v>61.25</v>
      </c>
      <c r="F6" s="76"/>
      <c r="G6" s="140"/>
      <c r="H6" s="11" t="s">
        <v>84</v>
      </c>
      <c r="I6" s="4"/>
      <c r="J6" s="98">
        <v>55500</v>
      </c>
      <c r="K6" s="96">
        <f>(1.72*J6)/1000</f>
        <v>95.46</v>
      </c>
      <c r="L6" s="97">
        <v>6</v>
      </c>
      <c r="M6" s="136"/>
      <c r="N6" s="1"/>
      <c r="O6" s="1"/>
    </row>
    <row r="7" spans="1:15" x14ac:dyDescent="0.25">
      <c r="A7" s="139"/>
      <c r="B7" s="11">
        <v>16</v>
      </c>
      <c r="C7" s="4"/>
      <c r="D7" s="4">
        <v>53000</v>
      </c>
      <c r="E7" s="95">
        <f>(1.63*D7)/1000</f>
        <v>86.39</v>
      </c>
      <c r="F7" s="76"/>
      <c r="G7" s="140"/>
      <c r="H7" s="11" t="s">
        <v>85</v>
      </c>
      <c r="I7" s="4"/>
      <c r="J7" s="98">
        <v>56000</v>
      </c>
      <c r="K7" s="96">
        <f>(1.72*J7)/1000</f>
        <v>96.32</v>
      </c>
      <c r="L7" s="97">
        <v>6</v>
      </c>
      <c r="M7" s="136"/>
      <c r="N7" s="1"/>
      <c r="O7" s="1"/>
    </row>
    <row r="8" spans="1:15" x14ac:dyDescent="0.25">
      <c r="A8" s="139"/>
      <c r="B8" s="11">
        <v>18</v>
      </c>
      <c r="C8" s="4"/>
      <c r="D8" s="4">
        <v>53000</v>
      </c>
      <c r="E8" s="95">
        <f>(2.02*D8)/1000</f>
        <v>107.06</v>
      </c>
      <c r="F8" s="76"/>
      <c r="G8" s="140"/>
      <c r="H8" s="11" t="s">
        <v>86</v>
      </c>
      <c r="I8" s="4"/>
      <c r="J8" s="98">
        <v>58000</v>
      </c>
      <c r="K8" s="96">
        <f>(1.9*J8)/1000</f>
        <v>110.2</v>
      </c>
      <c r="L8" s="97">
        <v>6</v>
      </c>
      <c r="M8" s="136"/>
      <c r="N8" s="1"/>
      <c r="O8" s="1"/>
    </row>
    <row r="9" spans="1:15" x14ac:dyDescent="0.25">
      <c r="A9" s="139"/>
      <c r="B9" s="11">
        <v>20</v>
      </c>
      <c r="C9" s="4"/>
      <c r="D9" s="4">
        <v>49000</v>
      </c>
      <c r="E9" s="95">
        <f>(2.5*D9)/1000</f>
        <v>122.5</v>
      </c>
      <c r="F9" s="76"/>
      <c r="G9" s="140"/>
      <c r="H9" s="11" t="s">
        <v>87</v>
      </c>
      <c r="I9" s="4"/>
      <c r="J9" s="98">
        <v>58000</v>
      </c>
      <c r="K9" s="96">
        <f>(2.34*J9)/1000</f>
        <v>135.72</v>
      </c>
      <c r="L9" s="97">
        <v>6</v>
      </c>
      <c r="M9" s="136"/>
      <c r="N9" s="1"/>
      <c r="O9" s="1"/>
    </row>
    <row r="10" spans="1:15" x14ac:dyDescent="0.25">
      <c r="A10" s="139"/>
      <c r="B10" s="11">
        <v>22</v>
      </c>
      <c r="C10" s="4"/>
      <c r="D10" s="4">
        <v>53000</v>
      </c>
      <c r="E10" s="95">
        <f>(3.01*D10)/1000</f>
        <v>159.53</v>
      </c>
      <c r="F10" s="76"/>
      <c r="G10" s="140"/>
      <c r="H10" s="11" t="s">
        <v>88</v>
      </c>
      <c r="I10" s="4"/>
      <c r="J10" s="98">
        <v>60000</v>
      </c>
      <c r="K10" s="96">
        <f>(3.37*J10)/1000</f>
        <v>202.2</v>
      </c>
      <c r="L10" s="97">
        <v>6</v>
      </c>
      <c r="M10" s="136"/>
      <c r="N10" s="1"/>
      <c r="O10" s="1"/>
    </row>
    <row r="11" spans="1:15" x14ac:dyDescent="0.25">
      <c r="A11" s="139"/>
      <c r="B11" s="11">
        <v>25</v>
      </c>
      <c r="C11" s="4"/>
      <c r="D11" s="4">
        <v>53000</v>
      </c>
      <c r="E11" s="95">
        <f>(3.87*D11)/1000</f>
        <v>205.11</v>
      </c>
      <c r="F11" s="76"/>
      <c r="G11" s="140"/>
      <c r="H11" s="11" t="s">
        <v>89</v>
      </c>
      <c r="I11" s="4"/>
      <c r="J11" s="98">
        <v>64000</v>
      </c>
      <c r="K11" s="96">
        <f>(2.2*J11)/1000</f>
        <v>140.80000000000001</v>
      </c>
      <c r="L11" s="97">
        <v>6</v>
      </c>
      <c r="M11" s="136"/>
      <c r="N11" s="1"/>
      <c r="O11" s="1"/>
    </row>
    <row r="12" spans="1:15" x14ac:dyDescent="0.25">
      <c r="A12" s="139"/>
      <c r="B12" s="11">
        <v>28</v>
      </c>
      <c r="C12" s="4"/>
      <c r="D12" s="4">
        <v>53000</v>
      </c>
      <c r="E12" s="95">
        <f>(4.85*D12)/1000</f>
        <v>257.04999999999995</v>
      </c>
      <c r="F12" s="76"/>
      <c r="G12" s="140"/>
      <c r="H12" s="11" t="s">
        <v>90</v>
      </c>
      <c r="I12" s="4"/>
      <c r="J12" s="98">
        <v>62000</v>
      </c>
      <c r="K12" s="96">
        <f>(2.34*J12)/1000</f>
        <v>145.08000000000001</v>
      </c>
      <c r="L12" s="97">
        <v>6</v>
      </c>
      <c r="M12" s="136"/>
      <c r="N12" s="1"/>
      <c r="O12" s="1"/>
    </row>
    <row r="13" spans="1:15" ht="18.75" x14ac:dyDescent="0.4">
      <c r="A13" s="137" t="s">
        <v>91</v>
      </c>
      <c r="B13" s="137"/>
      <c r="C13" s="137"/>
      <c r="D13" s="137"/>
      <c r="E13" s="137"/>
      <c r="F13" s="76"/>
      <c r="G13" s="140"/>
      <c r="H13" s="11" t="s">
        <v>92</v>
      </c>
      <c r="I13" s="4"/>
      <c r="J13" s="98">
        <v>61000</v>
      </c>
      <c r="K13" s="96">
        <f>(3*J13)/1000</f>
        <v>183</v>
      </c>
      <c r="L13" s="97">
        <v>6</v>
      </c>
      <c r="M13" s="136"/>
      <c r="N13" s="1"/>
      <c r="O13" s="1"/>
    </row>
    <row r="14" spans="1:15" ht="14.45" customHeight="1" x14ac:dyDescent="0.25">
      <c r="A14" s="141" t="s">
        <v>93</v>
      </c>
      <c r="B14" s="11" t="s">
        <v>94</v>
      </c>
      <c r="C14" s="4"/>
      <c r="D14" s="4">
        <v>68000</v>
      </c>
      <c r="E14" s="95">
        <f>(0.28*D14)/1000</f>
        <v>19.04</v>
      </c>
      <c r="F14" s="76"/>
      <c r="G14" s="140"/>
      <c r="H14" s="11" t="s">
        <v>95</v>
      </c>
      <c r="I14" s="4"/>
      <c r="J14" s="98">
        <v>55000</v>
      </c>
      <c r="K14" s="96">
        <f>(4.32*J14)/1000</f>
        <v>237.60000000000002</v>
      </c>
      <c r="L14" s="97">
        <v>6</v>
      </c>
      <c r="M14" s="136"/>
      <c r="N14" s="1"/>
      <c r="O14" s="1"/>
    </row>
    <row r="15" spans="1:15" x14ac:dyDescent="0.25">
      <c r="A15" s="141"/>
      <c r="B15" s="11" t="s">
        <v>96</v>
      </c>
      <c r="C15" s="4"/>
      <c r="D15" s="4">
        <v>64000</v>
      </c>
      <c r="E15" s="95">
        <f>(0.4*D15)/1000</f>
        <v>25.6</v>
      </c>
      <c r="F15" s="76"/>
      <c r="G15" s="140"/>
      <c r="H15" s="11" t="s">
        <v>97</v>
      </c>
      <c r="I15" s="4"/>
      <c r="J15" s="98">
        <v>62000</v>
      </c>
      <c r="K15" s="96">
        <f>(2.66*J15)/1000</f>
        <v>164.92</v>
      </c>
      <c r="L15" s="97">
        <v>6</v>
      </c>
      <c r="M15" s="136"/>
      <c r="N15" s="1"/>
      <c r="O15" s="1"/>
    </row>
    <row r="16" spans="1:15" x14ac:dyDescent="0.25">
      <c r="A16" s="141"/>
      <c r="B16" s="11" t="s">
        <v>98</v>
      </c>
      <c r="C16" s="4"/>
      <c r="D16" s="4">
        <v>67000</v>
      </c>
      <c r="E16" s="95">
        <f>(0.65*D16)/1000</f>
        <v>43.55</v>
      </c>
      <c r="F16" s="76"/>
      <c r="G16" s="140"/>
      <c r="H16" s="11" t="s">
        <v>99</v>
      </c>
      <c r="I16" s="4"/>
      <c r="J16" s="98">
        <v>60000</v>
      </c>
      <c r="K16" s="96">
        <f>(3.84*J16)/1000</f>
        <v>230.4</v>
      </c>
      <c r="L16" s="97">
        <v>6</v>
      </c>
      <c r="M16" s="136"/>
      <c r="N16" s="1"/>
      <c r="O16" s="1"/>
    </row>
    <row r="17" spans="1:15" x14ac:dyDescent="0.25">
      <c r="A17" s="141"/>
      <c r="B17" s="11" t="s">
        <v>100</v>
      </c>
      <c r="C17" s="4"/>
      <c r="D17" s="4">
        <v>73000</v>
      </c>
      <c r="E17" s="95">
        <f>(0.93*D17)/1000</f>
        <v>67.89</v>
      </c>
      <c r="F17" s="76"/>
      <c r="G17" s="140"/>
      <c r="H17" s="11" t="s">
        <v>101</v>
      </c>
      <c r="I17" s="4"/>
      <c r="J17" s="98">
        <v>56500</v>
      </c>
      <c r="K17" s="96">
        <f>(3*J17)/1000</f>
        <v>169.5</v>
      </c>
      <c r="L17" s="97">
        <v>6</v>
      </c>
      <c r="M17" s="136"/>
      <c r="N17" s="1"/>
      <c r="O17" s="1"/>
    </row>
    <row r="18" spans="1:15" x14ac:dyDescent="0.25">
      <c r="A18" s="141"/>
      <c r="B18" s="11" t="s">
        <v>102</v>
      </c>
      <c r="C18" s="4"/>
      <c r="D18" s="4">
        <v>73000</v>
      </c>
      <c r="E18" s="95">
        <f>(1.25*D18)/1000</f>
        <v>91.25</v>
      </c>
      <c r="F18" s="76"/>
      <c r="G18" s="140"/>
      <c r="H18" s="11" t="s">
        <v>103</v>
      </c>
      <c r="I18" s="4"/>
      <c r="J18" s="98">
        <v>57000</v>
      </c>
      <c r="K18" s="96">
        <f>(4.32*J18)/1000</f>
        <v>246.24000000000004</v>
      </c>
      <c r="L18" s="97">
        <v>6</v>
      </c>
      <c r="M18" s="136"/>
      <c r="N18" s="1"/>
      <c r="O18" s="1"/>
    </row>
    <row r="19" spans="1:15" x14ac:dyDescent="0.25">
      <c r="A19" s="141"/>
      <c r="B19" s="11" t="s">
        <v>104</v>
      </c>
      <c r="C19" s="4"/>
      <c r="D19" s="4">
        <v>73000</v>
      </c>
      <c r="E19" s="95">
        <f>(1.63*D19)/1000</f>
        <v>118.98999999999998</v>
      </c>
      <c r="F19" s="76"/>
      <c r="G19" s="140"/>
      <c r="H19" s="11" t="s">
        <v>105</v>
      </c>
      <c r="I19" s="4"/>
      <c r="J19" s="98">
        <v>57000</v>
      </c>
      <c r="K19" s="96">
        <f>(3.6*J19)/1000</f>
        <v>205.2</v>
      </c>
      <c r="L19" s="97">
        <v>6</v>
      </c>
      <c r="M19" s="136"/>
      <c r="N19" s="1"/>
      <c r="O19" s="1"/>
    </row>
    <row r="20" spans="1:15" ht="18.75" x14ac:dyDescent="0.4">
      <c r="A20" s="137" t="s">
        <v>106</v>
      </c>
      <c r="B20" s="137"/>
      <c r="C20" s="137"/>
      <c r="D20" s="137"/>
      <c r="E20" s="137"/>
      <c r="F20" s="76"/>
      <c r="G20" s="140"/>
      <c r="H20" s="11" t="s">
        <v>107</v>
      </c>
      <c r="I20" s="4"/>
      <c r="J20" s="98">
        <v>57500</v>
      </c>
      <c r="K20" s="96">
        <f>(5.26*J20)/1000</f>
        <v>302.45</v>
      </c>
      <c r="L20" s="97">
        <v>6</v>
      </c>
      <c r="M20" s="136"/>
      <c r="N20" s="1"/>
      <c r="O20" s="1"/>
    </row>
    <row r="21" spans="1:15" ht="14.45" customHeight="1" x14ac:dyDescent="0.25">
      <c r="A21" s="142" t="s">
        <v>108</v>
      </c>
      <c r="B21" s="11">
        <v>6.5</v>
      </c>
      <c r="C21" s="4"/>
      <c r="D21" s="4">
        <v>64000</v>
      </c>
      <c r="E21" s="95">
        <f>(0.28*D21)/1000</f>
        <v>17.920000000000002</v>
      </c>
      <c r="F21" s="76"/>
      <c r="G21" s="140"/>
      <c r="H21" s="11" t="s">
        <v>109</v>
      </c>
      <c r="I21" s="4"/>
      <c r="J21" s="98">
        <v>62000</v>
      </c>
      <c r="K21" s="96">
        <f>(3.6*J21)/1000</f>
        <v>223.2</v>
      </c>
      <c r="L21" s="97">
        <v>6</v>
      </c>
      <c r="M21" s="136"/>
      <c r="N21" s="1"/>
      <c r="O21" s="1"/>
    </row>
    <row r="22" spans="1:15" x14ac:dyDescent="0.25">
      <c r="A22" s="142"/>
      <c r="B22" s="11">
        <v>8</v>
      </c>
      <c r="C22" s="4"/>
      <c r="D22" s="4">
        <v>64000</v>
      </c>
      <c r="E22" s="95">
        <f>(0.4*D22)/1000</f>
        <v>25.6</v>
      </c>
      <c r="F22" s="76"/>
      <c r="G22" s="140"/>
      <c r="H22" s="11" t="s">
        <v>110</v>
      </c>
      <c r="I22" s="4"/>
      <c r="J22" s="98">
        <v>60500</v>
      </c>
      <c r="K22" s="96">
        <f>(5.26*J22)/1000</f>
        <v>318.23</v>
      </c>
      <c r="L22" s="97">
        <v>12</v>
      </c>
      <c r="M22" s="136"/>
      <c r="N22" s="1"/>
      <c r="O22" s="1"/>
    </row>
    <row r="23" spans="1:15" ht="18.75" x14ac:dyDescent="0.4">
      <c r="A23" s="137" t="s">
        <v>111</v>
      </c>
      <c r="B23" s="137"/>
      <c r="C23" s="137"/>
      <c r="D23" s="137"/>
      <c r="E23" s="137"/>
      <c r="F23" s="76"/>
      <c r="G23" s="140"/>
      <c r="H23" s="11" t="s">
        <v>112</v>
      </c>
      <c r="I23" s="4"/>
      <c r="J23" s="98">
        <v>60500</v>
      </c>
      <c r="K23" s="96">
        <f>(6.2*J23)/1000</f>
        <v>375.1</v>
      </c>
      <c r="L23" s="97">
        <v>12</v>
      </c>
      <c r="M23" s="136"/>
      <c r="N23" s="1"/>
      <c r="O23" s="1"/>
    </row>
    <row r="24" spans="1:15" ht="14.45" customHeight="1" x14ac:dyDescent="0.25">
      <c r="A24" s="139" t="s">
        <v>113</v>
      </c>
      <c r="B24" s="11">
        <v>10</v>
      </c>
      <c r="C24" s="4"/>
      <c r="D24" s="4">
        <v>95000</v>
      </c>
      <c r="E24" s="95">
        <f>(9.8*D24)/1000</f>
        <v>931.00000000000011</v>
      </c>
      <c r="F24" s="76"/>
      <c r="G24" s="140"/>
      <c r="H24" s="11" t="s">
        <v>114</v>
      </c>
      <c r="I24" s="4"/>
      <c r="J24" s="98">
        <v>60000</v>
      </c>
      <c r="K24" s="96">
        <f>(4.85*J24)/1000</f>
        <v>291</v>
      </c>
      <c r="L24" s="97">
        <v>12</v>
      </c>
      <c r="M24" s="136"/>
      <c r="N24" s="1"/>
      <c r="O24" s="1"/>
    </row>
    <row r="25" spans="1:15" x14ac:dyDescent="0.25">
      <c r="A25" s="139"/>
      <c r="B25" s="11">
        <v>12</v>
      </c>
      <c r="C25" s="4"/>
      <c r="D25" s="4">
        <v>95000</v>
      </c>
      <c r="E25" s="95">
        <f>(12.3*D25)/1000</f>
        <v>1168.5</v>
      </c>
      <c r="F25" s="76"/>
      <c r="G25" s="140"/>
      <c r="H25" s="11" t="s">
        <v>115</v>
      </c>
      <c r="I25" s="4"/>
      <c r="J25" s="98">
        <v>56500</v>
      </c>
      <c r="K25" s="96">
        <f>(7.14*J25)/1000</f>
        <v>403.41</v>
      </c>
      <c r="L25" s="97">
        <v>12</v>
      </c>
      <c r="M25" s="136"/>
      <c r="N25" s="1"/>
      <c r="O25" s="1"/>
    </row>
    <row r="26" spans="1:15" x14ac:dyDescent="0.25">
      <c r="A26" s="139"/>
      <c r="B26" s="11">
        <v>14</v>
      </c>
      <c r="C26" s="4"/>
      <c r="D26" s="4">
        <v>83500</v>
      </c>
      <c r="E26" s="95">
        <f>(14.3*D26)/1000</f>
        <v>1194.05</v>
      </c>
      <c r="F26" s="76"/>
      <c r="G26" s="140"/>
      <c r="H26" s="11" t="s">
        <v>116</v>
      </c>
      <c r="I26" s="4"/>
      <c r="J26" s="98">
        <v>60000</v>
      </c>
      <c r="K26" s="96">
        <f>(9.35*J26)/1000</f>
        <v>561</v>
      </c>
      <c r="L26" s="97">
        <v>12</v>
      </c>
      <c r="M26" s="136"/>
      <c r="N26" s="1"/>
      <c r="O26" s="1"/>
    </row>
    <row r="27" spans="1:15" x14ac:dyDescent="0.25">
      <c r="A27" s="139"/>
      <c r="B27" s="11">
        <v>16</v>
      </c>
      <c r="C27" s="4"/>
      <c r="D27" s="4">
        <v>97000</v>
      </c>
      <c r="E27" s="95">
        <f>(17*D27)/1000</f>
        <v>1649</v>
      </c>
      <c r="F27" s="76"/>
      <c r="G27" s="140"/>
      <c r="H27" s="11" t="s">
        <v>117</v>
      </c>
      <c r="I27" s="4"/>
      <c r="J27" s="98">
        <v>56500</v>
      </c>
      <c r="K27" s="96">
        <f>(9.1*J27)/1000</f>
        <v>514.15</v>
      </c>
      <c r="L27" s="97">
        <v>12</v>
      </c>
      <c r="M27" s="136"/>
      <c r="N27" s="1"/>
      <c r="O27" s="1"/>
    </row>
    <row r="28" spans="1:15" x14ac:dyDescent="0.25">
      <c r="A28" s="139"/>
      <c r="B28" s="11">
        <v>20</v>
      </c>
      <c r="C28" s="4"/>
      <c r="D28" s="4">
        <v>89500</v>
      </c>
      <c r="E28" s="95">
        <f>(21.5*D28)/1000</f>
        <v>1924.25</v>
      </c>
      <c r="F28" s="76"/>
      <c r="G28" s="140"/>
      <c r="H28" s="11" t="s">
        <v>118</v>
      </c>
      <c r="I28" s="4"/>
      <c r="J28" s="98">
        <v>57000</v>
      </c>
      <c r="K28" s="96">
        <f>(11.85*J28)/1000</f>
        <v>675.45</v>
      </c>
      <c r="L28" s="97">
        <v>12</v>
      </c>
      <c r="M28" s="136"/>
      <c r="N28" s="1"/>
      <c r="O28" s="1"/>
    </row>
    <row r="29" spans="1:15" ht="18.75" x14ac:dyDescent="0.4">
      <c r="A29" s="137" t="s">
        <v>119</v>
      </c>
      <c r="B29" s="137"/>
      <c r="C29" s="137"/>
      <c r="D29" s="137"/>
      <c r="E29" s="137"/>
      <c r="F29" s="76"/>
      <c r="G29" s="140"/>
      <c r="H29" s="11" t="s">
        <v>120</v>
      </c>
      <c r="I29" s="4"/>
      <c r="J29" s="98">
        <v>54500</v>
      </c>
      <c r="K29" s="96">
        <f>(6.7*J29)/1000</f>
        <v>365.15</v>
      </c>
      <c r="L29" s="97">
        <v>12</v>
      </c>
      <c r="M29" s="136"/>
      <c r="N29" s="1"/>
      <c r="O29" s="1"/>
    </row>
    <row r="30" spans="1:15" ht="14.45" customHeight="1" x14ac:dyDescent="0.25">
      <c r="A30" s="141" t="s">
        <v>121</v>
      </c>
      <c r="B30" s="11">
        <v>10</v>
      </c>
      <c r="C30" s="4"/>
      <c r="D30" s="4">
        <v>89000</v>
      </c>
      <c r="E30" s="95">
        <f>(0.8*D30)/1000</f>
        <v>71.2</v>
      </c>
      <c r="F30" s="76"/>
      <c r="G30" s="140"/>
      <c r="H30" s="11" t="s">
        <v>122</v>
      </c>
      <c r="I30" s="4"/>
      <c r="J30" s="98">
        <v>60000</v>
      </c>
      <c r="K30" s="96">
        <f>(14.5*J30)/1000</f>
        <v>870</v>
      </c>
      <c r="L30" s="97">
        <v>12</v>
      </c>
      <c r="M30" s="136"/>
      <c r="N30" s="1"/>
      <c r="O30" s="1"/>
    </row>
    <row r="31" spans="1:15" x14ac:dyDescent="0.25">
      <c r="A31" s="141"/>
      <c r="B31" s="11">
        <v>12</v>
      </c>
      <c r="C31" s="4"/>
      <c r="D31" s="4">
        <v>86000</v>
      </c>
      <c r="E31" s="95">
        <f>(1.2*D31)/1000</f>
        <v>103.2</v>
      </c>
      <c r="F31" s="76"/>
      <c r="G31" s="140"/>
      <c r="H31" s="11" t="s">
        <v>123</v>
      </c>
      <c r="I31" s="4"/>
      <c r="J31" s="4">
        <v>73000</v>
      </c>
      <c r="K31" s="96">
        <f>(0.63*J31)/1000</f>
        <v>45.99</v>
      </c>
      <c r="L31" s="97">
        <v>6</v>
      </c>
      <c r="M31" s="136"/>
      <c r="N31" s="1"/>
      <c r="O31" s="1"/>
    </row>
    <row r="32" spans="1:15" ht="18.75" x14ac:dyDescent="0.4">
      <c r="A32" s="141"/>
      <c r="B32" s="11">
        <v>14</v>
      </c>
      <c r="C32" s="4"/>
      <c r="D32" s="4">
        <v>86000</v>
      </c>
      <c r="E32" s="95">
        <f>(1.54*D32)/1000</f>
        <v>132.44</v>
      </c>
      <c r="F32" s="76"/>
      <c r="G32" s="138" t="s">
        <v>124</v>
      </c>
      <c r="H32" s="138"/>
      <c r="I32" s="138"/>
      <c r="J32" s="138"/>
      <c r="K32" s="138"/>
      <c r="L32" s="99"/>
      <c r="M32" s="136"/>
      <c r="N32" s="1"/>
      <c r="O32" s="1"/>
    </row>
    <row r="33" spans="1:15" ht="14.45" customHeight="1" x14ac:dyDescent="0.25">
      <c r="A33" s="141"/>
      <c r="B33" s="11">
        <v>16</v>
      </c>
      <c r="C33" s="4"/>
      <c r="D33" s="4">
        <v>86000</v>
      </c>
      <c r="E33" s="95">
        <f>(2.1*D33)/1000</f>
        <v>180.6</v>
      </c>
      <c r="F33" s="76"/>
      <c r="G33" s="140" t="s">
        <v>125</v>
      </c>
      <c r="H33" s="4" t="s">
        <v>126</v>
      </c>
      <c r="I33" s="4"/>
      <c r="J33" s="4">
        <v>72000</v>
      </c>
      <c r="K33" s="96">
        <f>(1.28*J33)/1000</f>
        <v>92.16</v>
      </c>
      <c r="L33" s="100">
        <v>7.8</v>
      </c>
      <c r="M33" s="136"/>
      <c r="N33" s="1"/>
      <c r="O33" s="1"/>
    </row>
    <row r="34" spans="1:15" ht="18.75" x14ac:dyDescent="0.4">
      <c r="A34" s="137" t="s">
        <v>127</v>
      </c>
      <c r="B34" s="137"/>
      <c r="C34" s="137"/>
      <c r="D34" s="137"/>
      <c r="E34" s="137"/>
      <c r="F34" s="76"/>
      <c r="G34" s="140"/>
      <c r="H34" s="4" t="s">
        <v>128</v>
      </c>
      <c r="I34" s="4"/>
      <c r="J34" s="4">
        <v>72000</v>
      </c>
      <c r="K34" s="96">
        <f>(1.67*J34)/1000</f>
        <v>120.24</v>
      </c>
      <c r="L34" s="100">
        <v>7.85</v>
      </c>
      <c r="M34" s="136"/>
      <c r="N34" s="1"/>
      <c r="O34" s="1"/>
    </row>
    <row r="35" spans="1:15" ht="14.45" customHeight="1" x14ac:dyDescent="0.25">
      <c r="A35" s="141" t="s">
        <v>129</v>
      </c>
      <c r="B35" s="4" t="s">
        <v>130</v>
      </c>
      <c r="C35" s="4"/>
      <c r="D35" s="4">
        <v>80000</v>
      </c>
      <c r="E35" s="95">
        <f>(33*D35)/1000</f>
        <v>2640</v>
      </c>
      <c r="F35" s="76"/>
      <c r="G35" s="140"/>
      <c r="H35" s="4" t="s">
        <v>131</v>
      </c>
      <c r="I35" s="4"/>
      <c r="J35" s="4">
        <v>73000</v>
      </c>
      <c r="K35" s="96">
        <f>(2.15*J35)/1000</f>
        <v>156.94999999999999</v>
      </c>
      <c r="L35" s="100">
        <v>7.8</v>
      </c>
      <c r="M35" s="136"/>
      <c r="N35" s="1"/>
      <c r="O35" s="1"/>
    </row>
    <row r="36" spans="1:15" x14ac:dyDescent="0.25">
      <c r="A36" s="141"/>
      <c r="B36" s="4" t="s">
        <v>132</v>
      </c>
      <c r="C36" s="4"/>
      <c r="D36" s="4">
        <v>81000</v>
      </c>
      <c r="E36" s="95">
        <f>(50*D36)/1000</f>
        <v>4050</v>
      </c>
      <c r="F36" s="76"/>
      <c r="G36" s="140"/>
      <c r="H36" s="4" t="s">
        <v>133</v>
      </c>
      <c r="I36" s="4"/>
      <c r="J36" s="4">
        <v>73000</v>
      </c>
      <c r="K36" s="96">
        <f>(2.75*J36)/1000</f>
        <v>200.75</v>
      </c>
      <c r="L36" s="100">
        <v>6</v>
      </c>
      <c r="M36" s="136"/>
      <c r="N36" s="1"/>
      <c r="O36" s="1"/>
    </row>
    <row r="37" spans="1:15" x14ac:dyDescent="0.25">
      <c r="A37" s="141"/>
      <c r="B37" s="4" t="s">
        <v>134</v>
      </c>
      <c r="C37" s="4"/>
      <c r="D37" s="4">
        <v>81000</v>
      </c>
      <c r="E37" s="95">
        <f>(50*D37)/1000</f>
        <v>4050</v>
      </c>
      <c r="F37" s="76"/>
      <c r="G37" s="140"/>
      <c r="H37" s="4" t="s">
        <v>135</v>
      </c>
      <c r="I37" s="4"/>
      <c r="J37" s="4">
        <v>72000</v>
      </c>
      <c r="K37" s="96">
        <f>(3.35*J37)/1000</f>
        <v>241.2</v>
      </c>
      <c r="L37" s="100">
        <v>7.85</v>
      </c>
      <c r="M37" s="136"/>
      <c r="N37" s="1"/>
      <c r="O37" s="1"/>
    </row>
    <row r="38" spans="1:15" ht="14.45" customHeight="1" x14ac:dyDescent="0.25">
      <c r="A38" s="141"/>
      <c r="B38" s="4" t="s">
        <v>136</v>
      </c>
      <c r="C38" s="4"/>
      <c r="D38" s="4">
        <v>81000</v>
      </c>
      <c r="E38" s="95">
        <f>(75*D38)/1000</f>
        <v>6075</v>
      </c>
      <c r="F38" s="76"/>
      <c r="G38" s="140" t="s">
        <v>137</v>
      </c>
      <c r="H38" s="4" t="s">
        <v>138</v>
      </c>
      <c r="I38" s="4"/>
      <c r="J38" s="4">
        <v>71000</v>
      </c>
      <c r="K38" s="96">
        <f>(4.01*J38)/1000</f>
        <v>284.70999999999998</v>
      </c>
      <c r="L38" s="100">
        <v>9.5</v>
      </c>
      <c r="M38" s="136"/>
      <c r="N38" s="1"/>
      <c r="O38" s="1"/>
    </row>
    <row r="39" spans="1:15" x14ac:dyDescent="0.25">
      <c r="A39" s="141"/>
      <c r="B39" s="4" t="s">
        <v>139</v>
      </c>
      <c r="C39" s="4"/>
      <c r="D39" s="4">
        <v>81000</v>
      </c>
      <c r="E39" s="95">
        <f>(285*D39)/1000</f>
        <v>23085</v>
      </c>
      <c r="F39" s="76"/>
      <c r="G39" s="140"/>
      <c r="H39" s="4" t="s">
        <v>140</v>
      </c>
      <c r="I39" s="4"/>
      <c r="J39" s="4">
        <v>71000</v>
      </c>
      <c r="K39" s="96">
        <f>(5.4*J39)/1000</f>
        <v>383.4</v>
      </c>
      <c r="L39" s="100">
        <v>9.5</v>
      </c>
      <c r="M39" s="136"/>
      <c r="N39" s="1"/>
      <c r="O39" s="1"/>
    </row>
    <row r="40" spans="1:15" x14ac:dyDescent="0.25">
      <c r="A40" s="141"/>
      <c r="B40" s="4" t="s">
        <v>141</v>
      </c>
      <c r="C40" s="4"/>
      <c r="D40" s="4">
        <v>81000</v>
      </c>
      <c r="E40" s="95">
        <f>(430*D40)/1000</f>
        <v>34830</v>
      </c>
      <c r="F40" s="76"/>
      <c r="G40" s="140"/>
      <c r="H40" s="4" t="s">
        <v>142</v>
      </c>
      <c r="I40" s="4"/>
      <c r="J40" s="4">
        <v>71000</v>
      </c>
      <c r="K40" s="96">
        <f>(6.36*J40)/1000</f>
        <v>451.56</v>
      </c>
      <c r="L40" s="100">
        <v>11.4</v>
      </c>
      <c r="M40" s="136"/>
      <c r="N40" s="1"/>
      <c r="O40" s="1"/>
    </row>
    <row r="41" spans="1:15" x14ac:dyDescent="0.25">
      <c r="A41" s="141"/>
      <c r="B41" s="4" t="s">
        <v>143</v>
      </c>
      <c r="C41" s="4"/>
      <c r="D41" s="4">
        <v>81000</v>
      </c>
      <c r="E41" s="95">
        <f>(570*D41)/1000</f>
        <v>46170</v>
      </c>
      <c r="F41" s="76"/>
      <c r="G41" s="140"/>
      <c r="H41" s="4" t="s">
        <v>144</v>
      </c>
      <c r="I41" s="4"/>
      <c r="J41" s="4">
        <v>71000</v>
      </c>
      <c r="K41" s="96">
        <f>(7.35*J41)/1000</f>
        <v>521.85</v>
      </c>
      <c r="L41" s="100">
        <v>11</v>
      </c>
      <c r="M41" s="136"/>
      <c r="N41" s="1"/>
      <c r="O41" s="1"/>
    </row>
    <row r="42" spans="1:15" x14ac:dyDescent="0.25">
      <c r="A42" s="141"/>
      <c r="B42" s="4" t="s">
        <v>145</v>
      </c>
      <c r="C42" s="4"/>
      <c r="D42" s="4">
        <v>81000</v>
      </c>
      <c r="E42" s="95">
        <f>(715*D42)/1000</f>
        <v>57915</v>
      </c>
      <c r="F42" s="76"/>
      <c r="G42" s="140"/>
      <c r="H42" s="4" t="s">
        <v>146</v>
      </c>
      <c r="I42" s="4"/>
      <c r="J42" s="4">
        <v>71000</v>
      </c>
      <c r="K42" s="96">
        <f>(12.75*J42)/1000</f>
        <v>905.25</v>
      </c>
      <c r="L42" s="100">
        <v>11.6</v>
      </c>
      <c r="M42" s="136"/>
      <c r="N42" s="1"/>
      <c r="O42" s="1"/>
    </row>
    <row r="43" spans="1:15" ht="14.45" customHeight="1" x14ac:dyDescent="0.25">
      <c r="A43" s="143" t="s">
        <v>147</v>
      </c>
      <c r="B43" s="112" t="s">
        <v>139</v>
      </c>
      <c r="C43" s="112"/>
      <c r="D43" s="112">
        <v>81000</v>
      </c>
      <c r="E43" s="144">
        <f>(290*D43)/1000</f>
        <v>23490</v>
      </c>
      <c r="F43" s="76"/>
      <c r="G43" s="140"/>
      <c r="H43" s="4" t="s">
        <v>148</v>
      </c>
      <c r="I43" s="4"/>
      <c r="J43" s="4">
        <v>71000</v>
      </c>
      <c r="K43" s="96">
        <f>(15.32*J43)/1000</f>
        <v>1087.72</v>
      </c>
      <c r="L43" s="100">
        <v>11.8</v>
      </c>
      <c r="M43" s="136"/>
      <c r="N43" s="1"/>
      <c r="O43" s="1"/>
    </row>
    <row r="44" spans="1:15" ht="18.75" x14ac:dyDescent="0.25">
      <c r="A44" s="143"/>
      <c r="B44" s="112"/>
      <c r="C44" s="112"/>
      <c r="D44" s="112"/>
      <c r="E44" s="144"/>
      <c r="F44" s="76"/>
      <c r="G44" s="101" t="s">
        <v>149</v>
      </c>
      <c r="H44" s="4" t="s">
        <v>150</v>
      </c>
      <c r="I44" s="4"/>
      <c r="J44" s="4">
        <v>83000</v>
      </c>
      <c r="K44" s="96">
        <f>(7.4*J44)/1000</f>
        <v>614.20000000000005</v>
      </c>
      <c r="L44" s="100">
        <v>10</v>
      </c>
      <c r="M44" s="136"/>
      <c r="N44" s="1"/>
      <c r="O44" s="1"/>
    </row>
    <row r="45" spans="1:15" ht="18.75" x14ac:dyDescent="0.4">
      <c r="A45" s="137" t="s">
        <v>151</v>
      </c>
      <c r="B45" s="137"/>
      <c r="C45" s="137"/>
      <c r="D45" s="137"/>
      <c r="E45" s="137"/>
      <c r="F45" s="76"/>
      <c r="G45" s="138" t="s">
        <v>152</v>
      </c>
      <c r="H45" s="138"/>
      <c r="I45" s="138"/>
      <c r="J45" s="138"/>
      <c r="K45" s="138"/>
      <c r="L45" s="99"/>
      <c r="M45" s="136"/>
      <c r="N45" s="1"/>
      <c r="O45" s="1"/>
    </row>
    <row r="46" spans="1:15" ht="14.45" customHeight="1" x14ac:dyDescent="0.25">
      <c r="A46" s="139" t="s">
        <v>153</v>
      </c>
      <c r="B46" s="4" t="s">
        <v>154</v>
      </c>
      <c r="C46" s="4"/>
      <c r="D46" s="4">
        <v>88000</v>
      </c>
      <c r="E46" s="95">
        <f>(30*D46)/1000</f>
        <v>2640</v>
      </c>
      <c r="F46" s="76"/>
      <c r="G46" s="140" t="s">
        <v>155</v>
      </c>
      <c r="H46" s="4" t="s">
        <v>156</v>
      </c>
      <c r="I46" s="4"/>
      <c r="J46" s="4">
        <v>92000</v>
      </c>
      <c r="K46" s="96">
        <f>(1.25*J46)/1000</f>
        <v>115</v>
      </c>
      <c r="L46" s="100">
        <v>6</v>
      </c>
      <c r="M46" s="136"/>
      <c r="N46" s="1"/>
      <c r="O46" s="1"/>
    </row>
    <row r="47" spans="1:15" x14ac:dyDescent="0.25">
      <c r="A47" s="139"/>
      <c r="B47" s="4" t="s">
        <v>157</v>
      </c>
      <c r="C47" s="4"/>
      <c r="D47" s="4">
        <v>100000</v>
      </c>
      <c r="E47" s="95">
        <f>(38*D47)/1000</f>
        <v>3800</v>
      </c>
      <c r="F47" s="76"/>
      <c r="G47" s="140"/>
      <c r="H47" s="4" t="s">
        <v>158</v>
      </c>
      <c r="I47" s="4"/>
      <c r="J47" s="4">
        <v>92000</v>
      </c>
      <c r="K47" s="96">
        <f>(1.6*J47)/1000</f>
        <v>147.19999999999999</v>
      </c>
      <c r="L47" s="100">
        <v>6</v>
      </c>
      <c r="M47" s="136"/>
      <c r="N47" s="1"/>
      <c r="O47" s="1"/>
    </row>
    <row r="48" spans="1:15" x14ac:dyDescent="0.25">
      <c r="A48" s="139"/>
      <c r="B48" s="4" t="s">
        <v>130</v>
      </c>
      <c r="C48" s="4"/>
      <c r="D48" s="4">
        <v>92000</v>
      </c>
      <c r="E48" s="95">
        <f>(32*D48)/1000</f>
        <v>2944</v>
      </c>
      <c r="F48" s="76"/>
      <c r="G48" s="140"/>
      <c r="H48" s="4" t="s">
        <v>159</v>
      </c>
      <c r="I48" s="4"/>
      <c r="J48" s="4">
        <v>83000</v>
      </c>
      <c r="K48" s="96">
        <f>(2.5*J48)/1000</f>
        <v>207.5</v>
      </c>
      <c r="L48" s="100">
        <v>12</v>
      </c>
      <c r="M48" s="136"/>
      <c r="N48" s="1"/>
      <c r="O48" s="1"/>
    </row>
    <row r="49" spans="1:15" x14ac:dyDescent="0.25">
      <c r="A49" s="139"/>
      <c r="B49" s="4" t="s">
        <v>132</v>
      </c>
      <c r="C49" s="4"/>
      <c r="D49" s="4">
        <v>90000</v>
      </c>
      <c r="E49" s="95">
        <f>(50*D49)/1000</f>
        <v>4500</v>
      </c>
      <c r="F49" s="76"/>
      <c r="G49" s="140"/>
      <c r="H49" s="4" t="s">
        <v>160</v>
      </c>
      <c r="I49" s="4"/>
      <c r="J49" s="4">
        <v>83000</v>
      </c>
      <c r="K49" s="96">
        <f>(2.8*J49)/1000</f>
        <v>232.39999999999998</v>
      </c>
      <c r="L49" s="100">
        <v>11.7</v>
      </c>
      <c r="M49" s="136"/>
      <c r="N49" s="1"/>
      <c r="O49" s="1"/>
    </row>
    <row r="50" spans="1:15" ht="18.75" x14ac:dyDescent="0.4">
      <c r="A50" s="137" t="s">
        <v>161</v>
      </c>
      <c r="B50" s="137"/>
      <c r="C50" s="137"/>
      <c r="D50" s="137"/>
      <c r="E50" s="137"/>
      <c r="F50" s="76"/>
      <c r="G50" s="140"/>
      <c r="H50" s="4" t="s">
        <v>71</v>
      </c>
      <c r="I50" s="4"/>
      <c r="J50" s="4">
        <v>83000</v>
      </c>
      <c r="K50" s="96">
        <f>(3.2*J50)/1000</f>
        <v>265.60000000000002</v>
      </c>
      <c r="L50" s="100">
        <v>12</v>
      </c>
      <c r="M50" s="136"/>
      <c r="N50" s="1"/>
      <c r="O50" s="1"/>
    </row>
    <row r="51" spans="1:15" ht="14.45" customHeight="1" x14ac:dyDescent="0.25">
      <c r="A51" s="141" t="s">
        <v>162</v>
      </c>
      <c r="B51" s="11" t="s">
        <v>163</v>
      </c>
      <c r="C51" s="4"/>
      <c r="D51" s="4">
        <v>94000</v>
      </c>
      <c r="E51" s="95">
        <f>(0.8*D51)/1000</f>
        <v>75.2</v>
      </c>
      <c r="F51" s="76"/>
      <c r="G51" s="140"/>
      <c r="H51" s="4" t="s">
        <v>164</v>
      </c>
      <c r="I51" s="4"/>
      <c r="J51" s="4">
        <v>83000</v>
      </c>
      <c r="K51" s="96">
        <f>(3.85*J51)/1000</f>
        <v>319.55</v>
      </c>
      <c r="L51" s="100">
        <v>11.7</v>
      </c>
      <c r="M51" s="136"/>
      <c r="N51" s="1"/>
      <c r="O51" s="1"/>
    </row>
    <row r="52" spans="1:15" x14ac:dyDescent="0.25">
      <c r="A52" s="141"/>
      <c r="B52" s="11" t="s">
        <v>165</v>
      </c>
      <c r="C52" s="4"/>
      <c r="D52" s="4">
        <v>91000</v>
      </c>
      <c r="E52" s="95">
        <f>(0.96*D52)/1000</f>
        <v>87.36</v>
      </c>
      <c r="F52" s="76"/>
      <c r="G52" s="140"/>
      <c r="H52" s="4" t="s">
        <v>166</v>
      </c>
      <c r="I52" s="4"/>
      <c r="J52" s="4">
        <v>83000</v>
      </c>
      <c r="K52" s="96">
        <f>(5*J52)/1000</f>
        <v>415</v>
      </c>
      <c r="L52" s="100">
        <v>12</v>
      </c>
      <c r="M52" s="136"/>
      <c r="N52" s="1"/>
      <c r="O52" s="1"/>
    </row>
    <row r="53" spans="1:15" x14ac:dyDescent="0.25">
      <c r="A53" s="141"/>
      <c r="B53" s="11" t="s">
        <v>167</v>
      </c>
      <c r="C53" s="4"/>
      <c r="D53" s="4">
        <v>94000</v>
      </c>
      <c r="E53" s="95">
        <f>(1.32*D53)/1000</f>
        <v>124.08</v>
      </c>
      <c r="F53" s="76"/>
      <c r="G53" s="140"/>
      <c r="H53" s="4" t="s">
        <v>168</v>
      </c>
      <c r="I53" s="4"/>
      <c r="J53" s="4">
        <v>84000</v>
      </c>
      <c r="K53" s="96">
        <f>(5.95*J53)/1000</f>
        <v>499.8</v>
      </c>
      <c r="L53" s="100">
        <v>12</v>
      </c>
      <c r="M53" s="136"/>
      <c r="N53" s="1"/>
      <c r="O53" s="1"/>
    </row>
    <row r="54" spans="1:15" x14ac:dyDescent="0.25">
      <c r="A54" s="141"/>
      <c r="B54" s="11" t="s">
        <v>169</v>
      </c>
      <c r="C54" s="4"/>
      <c r="D54" s="4">
        <v>89000</v>
      </c>
      <c r="E54" s="95">
        <f>(1.51*D54)/1000</f>
        <v>134.38999999999999</v>
      </c>
      <c r="F54" s="76"/>
      <c r="G54" s="140"/>
      <c r="H54" s="4" t="s">
        <v>170</v>
      </c>
      <c r="I54" s="4"/>
      <c r="J54" s="4">
        <v>83000</v>
      </c>
      <c r="K54" s="96">
        <f>(7*J54)/1000</f>
        <v>581</v>
      </c>
      <c r="L54" s="100">
        <v>12</v>
      </c>
      <c r="M54" s="136"/>
      <c r="N54" s="1"/>
      <c r="O54" s="1"/>
    </row>
    <row r="55" spans="1:15" ht="18.75" x14ac:dyDescent="0.4">
      <c r="A55" s="137" t="s">
        <v>171</v>
      </c>
      <c r="B55" s="137"/>
      <c r="C55" s="137"/>
      <c r="D55" s="137"/>
      <c r="E55" s="137"/>
      <c r="F55" s="76"/>
      <c r="G55" s="140"/>
      <c r="H55" s="4" t="s">
        <v>172</v>
      </c>
      <c r="I55" s="4"/>
      <c r="J55" s="4">
        <v>83000</v>
      </c>
      <c r="K55" s="96">
        <f>(15.2*J55)/1000</f>
        <v>1261.5999999999999</v>
      </c>
      <c r="L55" s="100">
        <v>12</v>
      </c>
      <c r="M55" s="136"/>
      <c r="N55" s="1"/>
      <c r="O55" s="1"/>
    </row>
    <row r="56" spans="1:15" ht="14.45" customHeight="1" x14ac:dyDescent="0.25">
      <c r="A56" s="145" t="s">
        <v>173</v>
      </c>
      <c r="B56" s="11">
        <v>1.2</v>
      </c>
      <c r="C56" s="4"/>
      <c r="D56" s="4">
        <v>120000</v>
      </c>
      <c r="E56" s="4"/>
      <c r="F56" s="76"/>
      <c r="G56" s="140"/>
      <c r="H56" s="4" t="s">
        <v>174</v>
      </c>
      <c r="I56" s="4"/>
      <c r="J56" s="4">
        <v>83000</v>
      </c>
      <c r="K56" s="96">
        <f>(11*J56)/1000</f>
        <v>913</v>
      </c>
      <c r="L56" s="100">
        <v>12</v>
      </c>
      <c r="M56" s="136"/>
      <c r="N56" s="1"/>
      <c r="O56" s="1"/>
    </row>
    <row r="57" spans="1:15" ht="18.75" x14ac:dyDescent="0.4">
      <c r="A57" s="145"/>
      <c r="B57" s="11">
        <v>2</v>
      </c>
      <c r="C57" s="4"/>
      <c r="D57" s="4">
        <v>135000</v>
      </c>
      <c r="E57" s="4"/>
      <c r="F57" s="76"/>
      <c r="G57" s="138" t="s">
        <v>175</v>
      </c>
      <c r="H57" s="138"/>
      <c r="I57" s="138"/>
      <c r="J57" s="138"/>
      <c r="K57" s="138"/>
      <c r="L57" s="99"/>
      <c r="M57" s="136"/>
      <c r="N57" s="1"/>
      <c r="O57" s="1"/>
    </row>
    <row r="58" spans="1:15" ht="14.45" customHeight="1" x14ac:dyDescent="0.25">
      <c r="A58" s="145"/>
      <c r="B58" s="11">
        <v>3</v>
      </c>
      <c r="C58" s="4"/>
      <c r="D58" s="4">
        <v>135000</v>
      </c>
      <c r="E58" s="4"/>
      <c r="F58" s="76"/>
      <c r="G58" s="146" t="s">
        <v>176</v>
      </c>
      <c r="H58" s="11">
        <v>6.5</v>
      </c>
      <c r="I58" s="4"/>
      <c r="J58" s="4">
        <v>90500</v>
      </c>
      <c r="K58" s="96">
        <f>(6.2*J58)/1000</f>
        <v>561.1</v>
      </c>
      <c r="L58" s="97"/>
      <c r="M58" s="136"/>
      <c r="N58" s="1"/>
      <c r="O58" s="1"/>
    </row>
    <row r="59" spans="1:15" ht="18.75" x14ac:dyDescent="0.4">
      <c r="A59" s="137" t="s">
        <v>177</v>
      </c>
      <c r="B59" s="137"/>
      <c r="C59" s="137"/>
      <c r="D59" s="137"/>
      <c r="E59" s="137"/>
      <c r="F59" s="76"/>
      <c r="G59" s="146"/>
      <c r="H59" s="11">
        <v>8</v>
      </c>
      <c r="I59" s="4"/>
      <c r="J59" s="4">
        <v>86500</v>
      </c>
      <c r="K59" s="96">
        <f>(7.4*J59)/1000</f>
        <v>640.1</v>
      </c>
      <c r="L59" s="97"/>
      <c r="M59" s="136"/>
      <c r="N59" s="1"/>
      <c r="O59" s="1"/>
    </row>
    <row r="60" spans="1:15" ht="14.45" customHeight="1" x14ac:dyDescent="0.25">
      <c r="A60" s="147" t="s">
        <v>178</v>
      </c>
      <c r="B60" s="4" t="s">
        <v>117</v>
      </c>
      <c r="C60" s="4"/>
      <c r="D60" s="4">
        <v>185</v>
      </c>
      <c r="E60" s="4"/>
      <c r="F60" s="76"/>
      <c r="G60" s="146"/>
      <c r="H60" s="11">
        <v>10</v>
      </c>
      <c r="I60" s="4"/>
      <c r="J60" s="4">
        <v>92000</v>
      </c>
      <c r="K60" s="96">
        <f>(8.9*J60)/1000</f>
        <v>818.8</v>
      </c>
      <c r="L60" s="97"/>
      <c r="M60" s="136"/>
      <c r="N60" s="1"/>
      <c r="O60" s="1"/>
    </row>
    <row r="61" spans="1:15" x14ac:dyDescent="0.25">
      <c r="A61" s="147"/>
      <c r="B61" s="4" t="s">
        <v>118</v>
      </c>
      <c r="C61" s="4"/>
      <c r="D61" s="4">
        <v>300</v>
      </c>
      <c r="E61" s="4"/>
      <c r="F61" s="76"/>
      <c r="G61" s="146"/>
      <c r="H61" s="11">
        <v>12</v>
      </c>
      <c r="I61" s="4"/>
      <c r="J61" s="4">
        <v>93500</v>
      </c>
      <c r="K61" s="96">
        <f>(10.9*J61)/1000</f>
        <v>1019.15</v>
      </c>
      <c r="L61" s="97"/>
      <c r="M61" s="136"/>
      <c r="N61" s="1"/>
      <c r="O61" s="1"/>
    </row>
    <row r="62" spans="1:15" x14ac:dyDescent="0.25">
      <c r="A62" s="147"/>
      <c r="B62" s="4" t="s">
        <v>179</v>
      </c>
      <c r="C62" s="4"/>
      <c r="D62" s="4">
        <v>130</v>
      </c>
      <c r="E62" s="4"/>
      <c r="F62" s="76"/>
      <c r="G62" s="146"/>
      <c r="H62" s="11">
        <v>14</v>
      </c>
      <c r="I62" s="4"/>
      <c r="J62" s="4">
        <v>93500</v>
      </c>
      <c r="K62" s="96">
        <f>(12.9*J62)/1000</f>
        <v>1206.1500000000001</v>
      </c>
      <c r="L62" s="97"/>
      <c r="M62" s="136"/>
      <c r="N62" s="1"/>
      <c r="O62" s="1"/>
    </row>
    <row r="63" spans="1:15" x14ac:dyDescent="0.25">
      <c r="A63" s="147"/>
      <c r="B63" s="4" t="s">
        <v>180</v>
      </c>
      <c r="C63" s="4"/>
      <c r="D63" s="4">
        <v>215</v>
      </c>
      <c r="E63" s="4"/>
      <c r="F63" s="76"/>
      <c r="G63" s="146"/>
      <c r="H63" s="11">
        <v>16</v>
      </c>
      <c r="I63" s="4"/>
      <c r="J63" s="4">
        <v>96000</v>
      </c>
      <c r="K63" s="96">
        <f>(14.9*J63)/1000</f>
        <v>1430.4</v>
      </c>
      <c r="L63" s="97"/>
      <c r="M63" s="136"/>
      <c r="N63" s="1"/>
      <c r="O63" s="1"/>
    </row>
    <row r="64" spans="1:15" x14ac:dyDescent="0.25">
      <c r="A64" s="147"/>
      <c r="B64" s="4"/>
      <c r="C64" s="4"/>
      <c r="D64" s="4"/>
      <c r="E64" s="4"/>
      <c r="F64" s="76"/>
      <c r="G64" s="146"/>
      <c r="H64" s="11">
        <v>18</v>
      </c>
      <c r="I64" s="4"/>
      <c r="J64" s="4">
        <v>93500</v>
      </c>
      <c r="K64" s="96">
        <f>(16.9*J64)/1000</f>
        <v>1580.1499999999999</v>
      </c>
      <c r="L64" s="97"/>
      <c r="M64" s="136"/>
      <c r="N64" s="1"/>
      <c r="O64" s="1"/>
    </row>
    <row r="65" spans="1:15" x14ac:dyDescent="0.25">
      <c r="A65" s="147"/>
      <c r="B65" s="4" t="s">
        <v>95</v>
      </c>
      <c r="C65" s="4"/>
      <c r="D65" s="4">
        <v>280</v>
      </c>
      <c r="E65" s="4"/>
      <c r="F65" s="76"/>
      <c r="G65" s="146"/>
      <c r="H65" s="11">
        <v>22</v>
      </c>
      <c r="I65" s="4"/>
      <c r="J65" s="4">
        <v>98000</v>
      </c>
      <c r="K65" s="96">
        <f>(21.5*J65)/1000</f>
        <v>2107</v>
      </c>
      <c r="L65" s="97"/>
      <c r="M65" s="136"/>
      <c r="N65" s="1"/>
      <c r="O65" s="1"/>
    </row>
    <row r="66" spans="1:15" x14ac:dyDescent="0.25">
      <c r="A66" s="147"/>
      <c r="B66" s="68" t="s">
        <v>71</v>
      </c>
      <c r="C66" s="68"/>
      <c r="D66" s="68">
        <v>480</v>
      </c>
      <c r="E66" s="68"/>
      <c r="F66" s="20"/>
      <c r="G66" s="146"/>
      <c r="H66" s="55"/>
      <c r="I66" s="68"/>
      <c r="J66" s="68"/>
      <c r="K66" s="102"/>
      <c r="L66" s="97"/>
      <c r="M66" s="136"/>
      <c r="N66" s="1"/>
      <c r="O66" s="1"/>
    </row>
  </sheetData>
  <mergeCells count="38">
    <mergeCell ref="A45:E45"/>
    <mergeCell ref="G45:K45"/>
    <mergeCell ref="A46:A49"/>
    <mergeCell ref="G46:G56"/>
    <mergeCell ref="A50:E50"/>
    <mergeCell ref="A51:A54"/>
    <mergeCell ref="A55:E55"/>
    <mergeCell ref="A56:A58"/>
    <mergeCell ref="G57:K57"/>
    <mergeCell ref="G58:G66"/>
    <mergeCell ref="A59:E59"/>
    <mergeCell ref="A60:A66"/>
    <mergeCell ref="G32:K32"/>
    <mergeCell ref="G33:G37"/>
    <mergeCell ref="A34:E34"/>
    <mergeCell ref="A35:A42"/>
    <mergeCell ref="G38:G43"/>
    <mergeCell ref="A43:A44"/>
    <mergeCell ref="B43:B44"/>
    <mergeCell ref="C43:C44"/>
    <mergeCell ref="D43:D44"/>
    <mergeCell ref="E43:E44"/>
    <mergeCell ref="A1:B1"/>
    <mergeCell ref="G1:H1"/>
    <mergeCell ref="L1:L2"/>
    <mergeCell ref="M1:M66"/>
    <mergeCell ref="A2:E2"/>
    <mergeCell ref="G2:K2"/>
    <mergeCell ref="A3:A12"/>
    <mergeCell ref="G3:G31"/>
    <mergeCell ref="A13:E13"/>
    <mergeCell ref="A14:A19"/>
    <mergeCell ref="A20:E20"/>
    <mergeCell ref="A21:A22"/>
    <mergeCell ref="A23:E23"/>
    <mergeCell ref="A24:A28"/>
    <mergeCell ref="A29:E29"/>
    <mergeCell ref="A30:A3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Roman,Обычный"&amp;12&amp;Kffffff&amp;A</oddHeader>
    <oddFooter>&amp;C&amp;"Times New Roman,Обычный"&amp;12&amp;KffffffСтраница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Материалы Цемент Газобетон</vt:lpstr>
      <vt:lpstr>Металлопрокат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Оник</dc:creator>
  <dc:description/>
  <cp:lastModifiedBy>Оник</cp:lastModifiedBy>
  <cp:revision>3</cp:revision>
  <dcterms:created xsi:type="dcterms:W3CDTF">2006-09-16T00:00:00Z</dcterms:created>
  <dcterms:modified xsi:type="dcterms:W3CDTF">2022-07-21T06:34:38Z</dcterms:modified>
  <dc:language>ru-RU</dc:language>
</cp:coreProperties>
</file>