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6.jpeg" ContentType="image/jpeg"/>
  <Override PartName="/xl/media/image18.png" ContentType="image/png"/>
  <Override PartName="/xl/media/image17.png" ContentType="image/png"/>
  <Override PartName="/xl/media/image19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Материалы Цемент Газобетон" sheetId="1" state="visible" r:id="rId2"/>
    <sheet name="Металлопрокат" sheetId="2" state="visible" r:id="rId3"/>
    <sheet name="Пеноплекс Гипсокартон и прочие " sheetId="3" state="visible" r:id="rId4"/>
    <sheet name="Магазин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<sst xmlns="http://schemas.openxmlformats.org/spreadsheetml/2006/main" count="661" uniqueCount="463">
  <si>
    <t xml:space="preserve">Наименование товаров</t>
  </si>
  <si>
    <t xml:space="preserve">Цена, руб.</t>
  </si>
  <si>
    <t xml:space="preserve">до 1т. </t>
  </si>
  <si>
    <t xml:space="preserve">от 1 поддона</t>
  </si>
  <si>
    <t xml:space="preserve">от 20т.</t>
  </si>
  <si>
    <t xml:space="preserve">ЦЕМЕНТ</t>
  </si>
  <si>
    <t xml:space="preserve">Меш.</t>
  </si>
  <si>
    <t xml:space="preserve">Тонна</t>
  </si>
  <si>
    <t xml:space="preserve">РОССЦЕМ ПЦ400 Д20</t>
  </si>
  <si>
    <t xml:space="preserve">25кг</t>
  </si>
  <si>
    <t xml:space="preserve">Новоросцемент ПЦ500 Д0</t>
  </si>
  <si>
    <t xml:space="preserve">50кг</t>
  </si>
  <si>
    <t xml:space="preserve">Новоросцемент ПЦ500 Д20</t>
  </si>
  <si>
    <t xml:space="preserve">РОССЦЕМ ПЦ500 </t>
  </si>
  <si>
    <t xml:space="preserve">Бахчисарайский М500 </t>
  </si>
  <si>
    <t xml:space="preserve">При покупке товара на поддонах: 1поддон = 200руб.</t>
  </si>
  <si>
    <t xml:space="preserve">маш. 30т.</t>
  </si>
  <si>
    <t xml:space="preserve">ПРАЙС - ЛИСТ НА  26.03.2021г.</t>
  </si>
  <si>
    <t xml:space="preserve">ПЕСОК</t>
  </si>
  <si>
    <t xml:space="preserve">Навал Т.</t>
  </si>
  <si>
    <t xml:space="preserve">ЩЕБЕНЬ</t>
  </si>
  <si>
    <t xml:space="preserve">Навал</t>
  </si>
  <si>
    <t xml:space="preserve"> </t>
  </si>
  <si>
    <t xml:space="preserve">Морской (донузлав.)</t>
  </si>
  <si>
    <t xml:space="preserve">КЕРАМЗИТ</t>
  </si>
  <si>
    <t xml:space="preserve">Морской (прибрежн.)</t>
  </si>
  <si>
    <t xml:space="preserve">Белогорский</t>
  </si>
  <si>
    <t xml:space="preserve">20*40</t>
  </si>
  <si>
    <t xml:space="preserve">Керченский</t>
  </si>
  <si>
    <t xml:space="preserve">Мраморный</t>
  </si>
  <si>
    <t xml:space="preserve">5*20</t>
  </si>
  <si>
    <t xml:space="preserve">Ростовский</t>
  </si>
  <si>
    <t xml:space="preserve">Галька дроблен</t>
  </si>
  <si>
    <t xml:space="preserve">Вишенное</t>
  </si>
  <si>
    <t xml:space="preserve">Диоритовый</t>
  </si>
  <si>
    <t xml:space="preserve">ПГС</t>
  </si>
  <si>
    <t xml:space="preserve">Бут</t>
  </si>
  <si>
    <t xml:space="preserve">150*500</t>
  </si>
  <si>
    <t xml:space="preserve">Тырса</t>
  </si>
  <si>
    <t xml:space="preserve">Аромарное</t>
  </si>
  <si>
    <t xml:space="preserve">Отсев гранитный</t>
  </si>
  <si>
    <t xml:space="preserve">Крошка ДИОРИТОВАЯ</t>
  </si>
  <si>
    <t xml:space="preserve">Отсев ароматное</t>
  </si>
  <si>
    <t xml:space="preserve">Крошка МРАМОРНАЯ</t>
  </si>
  <si>
    <t xml:space="preserve">ЗАКАЗАТЬ</t>
  </si>
  <si>
    <t xml:space="preserve">KNAUF</t>
  </si>
  <si>
    <t xml:space="preserve">меш.</t>
  </si>
  <si>
    <t xml:space="preserve">руб.</t>
  </si>
  <si>
    <t xml:space="preserve">меш</t>
  </si>
  <si>
    <t xml:space="preserve">НР Старт Шпаклевка гипс.</t>
  </si>
  <si>
    <t xml:space="preserve">Ротбанд</t>
  </si>
  <si>
    <t xml:space="preserve">30кг</t>
  </si>
  <si>
    <t xml:space="preserve">НР Финиш Шпаклевка гипс.</t>
  </si>
  <si>
    <t xml:space="preserve">Сатенгипс </t>
  </si>
  <si>
    <t xml:space="preserve">МП-75 Штукатурка машин.</t>
  </si>
  <si>
    <t xml:space="preserve">Фюгенфюллер</t>
  </si>
  <si>
    <t xml:space="preserve">Перлфикс Клей гипс.Монтаж</t>
  </si>
  <si>
    <t xml:space="preserve">+7978-1000-345</t>
  </si>
  <si>
    <t xml:space="preserve">EUROGIPS</t>
  </si>
  <si>
    <t xml:space="preserve">Изогипс Старт Штукатурка</t>
  </si>
  <si>
    <t xml:space="preserve">Сатенгипс Финиш </t>
  </si>
  <si>
    <t xml:space="preserve">CERESIT</t>
  </si>
  <si>
    <t xml:space="preserve">СТ-17 Грунтовка</t>
  </si>
  <si>
    <t xml:space="preserve">10л</t>
  </si>
  <si>
    <r>
      <rPr>
        <b val="true"/>
        <sz val="11"/>
        <color rgb="FF002060"/>
        <rFont val="Calibri"/>
        <family val="2"/>
        <charset val="204"/>
      </rPr>
      <t xml:space="preserve">СМ-11 </t>
    </r>
    <r>
      <rPr>
        <b val="true"/>
        <sz val="9"/>
        <color rgb="FF002060"/>
        <rFont val="Calibri"/>
        <family val="2"/>
        <charset val="204"/>
      </rPr>
      <t xml:space="preserve">Клей для плитки</t>
    </r>
  </si>
  <si>
    <t xml:space="preserve">www.cemdvor.com</t>
  </si>
  <si>
    <t xml:space="preserve">5л</t>
  </si>
  <si>
    <t xml:space="preserve">ВОЛМА</t>
  </si>
  <si>
    <t xml:space="preserve">Старт Штукатур.гипс.</t>
  </si>
  <si>
    <t xml:space="preserve">Полифин Шпаклевка</t>
  </si>
  <si>
    <t xml:space="preserve">КАМЕНЬ "ФРАНЦУЗ"</t>
  </si>
  <si>
    <t xml:space="preserve">см</t>
  </si>
  <si>
    <t xml:space="preserve">руб./шт</t>
  </si>
  <si>
    <t xml:space="preserve">ГИПСОКАРТОН KNAUF </t>
  </si>
  <si>
    <t xml:space="preserve">Стеновой Влагостойкий</t>
  </si>
  <si>
    <t xml:space="preserve">12,5*1200*2500</t>
  </si>
  <si>
    <t xml:space="preserve">лист</t>
  </si>
  <si>
    <t xml:space="preserve">Потолочный Влагостойкий</t>
  </si>
  <si>
    <t xml:space="preserve">9,5*1200*2500</t>
  </si>
  <si>
    <t xml:space="preserve">Столб</t>
  </si>
  <si>
    <t xml:space="preserve">Потолочный</t>
  </si>
  <si>
    <t xml:space="preserve">Стеновой</t>
  </si>
  <si>
    <t xml:space="preserve">КИРПИЧ простеночный</t>
  </si>
  <si>
    <t xml:space="preserve">шт.</t>
  </si>
  <si>
    <t xml:space="preserve">паллет</t>
  </si>
  <si>
    <t xml:space="preserve">ГАЗОБЕТОН МАССИВ</t>
  </si>
  <si>
    <t xml:space="preserve">м3</t>
  </si>
  <si>
    <t xml:space="preserve">В НАЛИЧИИ СУХИЕ СМЕСИ</t>
  </si>
  <si>
    <t xml:space="preserve">Перегородочный</t>
  </si>
  <si>
    <t xml:space="preserve">600*200*100</t>
  </si>
  <si>
    <t xml:space="preserve">600*200*300</t>
  </si>
  <si>
    <t xml:space="preserve">1 паллет = 1,8куба = 150шт</t>
  </si>
  <si>
    <t xml:space="preserve">ГАЗОБЕТОН ВКБлок</t>
  </si>
  <si>
    <t xml:space="preserve">625*250*100</t>
  </si>
  <si>
    <t xml:space="preserve">625*200*300</t>
  </si>
  <si>
    <t xml:space="preserve">ЛЕС, ПИЛОМАТЕРИАЛ</t>
  </si>
  <si>
    <t xml:space="preserve">БЕТОН</t>
  </si>
  <si>
    <t xml:space="preserve">Размер</t>
  </si>
  <si>
    <t xml:space="preserve">шт в м3</t>
  </si>
  <si>
    <t xml:space="preserve">Цена за шт.</t>
  </si>
  <si>
    <t xml:space="preserve">Цена за м3</t>
  </si>
  <si>
    <t xml:space="preserve">Бетон, за М3</t>
  </si>
  <si>
    <t xml:space="preserve">25*50*4</t>
  </si>
  <si>
    <t xml:space="preserve">50*200*4</t>
  </si>
  <si>
    <t xml:space="preserve">М-100</t>
  </si>
  <si>
    <t xml:space="preserve">25*50*6</t>
  </si>
  <si>
    <t xml:space="preserve">50*100*6</t>
  </si>
  <si>
    <t xml:space="preserve">М-150</t>
  </si>
  <si>
    <t xml:space="preserve">50*50*4</t>
  </si>
  <si>
    <t xml:space="preserve">50*120*6</t>
  </si>
  <si>
    <t xml:space="preserve">М-200</t>
  </si>
  <si>
    <t xml:space="preserve">50*50*6</t>
  </si>
  <si>
    <t xml:space="preserve">50*150*6</t>
  </si>
  <si>
    <t xml:space="preserve">М-250</t>
  </si>
  <si>
    <t xml:space="preserve">25*100*4</t>
  </si>
  <si>
    <t xml:space="preserve">50*200*6</t>
  </si>
  <si>
    <t xml:space="preserve">М-300</t>
  </si>
  <si>
    <t xml:space="preserve">25*100*6</t>
  </si>
  <si>
    <t xml:space="preserve">100*100*6</t>
  </si>
  <si>
    <t xml:space="preserve">М-350</t>
  </si>
  <si>
    <t xml:space="preserve">25*120*6</t>
  </si>
  <si>
    <t xml:space="preserve">100*150*6</t>
  </si>
  <si>
    <t xml:space="preserve">Стяжка, за М3</t>
  </si>
  <si>
    <t xml:space="preserve">25*150*6</t>
  </si>
  <si>
    <t xml:space="preserve">150*150*6</t>
  </si>
  <si>
    <t xml:space="preserve">25*200*6</t>
  </si>
  <si>
    <t xml:space="preserve">100*200*6</t>
  </si>
  <si>
    <t xml:space="preserve">50*100*4</t>
  </si>
  <si>
    <t xml:space="preserve">150*200*6</t>
  </si>
  <si>
    <t xml:space="preserve">50*120*4</t>
  </si>
  <si>
    <t xml:space="preserve">200*200*6</t>
  </si>
  <si>
    <t xml:space="preserve">Доставка Миксером по г.Симферополю:                                               до 7м3 - 3000руб.    до 9м3 - 3500руб</t>
  </si>
  <si>
    <t xml:space="preserve">50*150*4</t>
  </si>
  <si>
    <t xml:space="preserve">Наименование товара</t>
  </si>
  <si>
    <t xml:space="preserve">ОПТ от 5т</t>
  </si>
  <si>
    <t xml:space="preserve">Розница</t>
  </si>
  <si>
    <t xml:space="preserve">руб./1м.п.</t>
  </si>
  <si>
    <t xml:space="preserve">метраж</t>
  </si>
  <si>
    <t xml:space="preserve">ЗАКАЗАТЬ →+7978-071-05-50 менеджер по металлу</t>
  </si>
  <si>
    <t xml:space="preserve">АРМАТУРА мера 11,75м</t>
  </si>
  <si>
    <t xml:space="preserve">ТРУБА Профильная</t>
  </si>
  <si>
    <t xml:space="preserve">Арматура А500С мера 11,75м</t>
  </si>
  <si>
    <t xml:space="preserve">Труба</t>
  </si>
  <si>
    <t xml:space="preserve">20*20*2</t>
  </si>
  <si>
    <t xml:space="preserve">25*25*2</t>
  </si>
  <si>
    <t xml:space="preserve">30*20*2</t>
  </si>
  <si>
    <t xml:space="preserve">30*30*2</t>
  </si>
  <si>
    <t xml:space="preserve">40*20*2</t>
  </si>
  <si>
    <t xml:space="preserve">40*25*2</t>
  </si>
  <si>
    <t xml:space="preserve">40*40*2</t>
  </si>
  <si>
    <t xml:space="preserve">40*40*3</t>
  </si>
  <si>
    <t xml:space="preserve">50*25*2</t>
  </si>
  <si>
    <t xml:space="preserve">50*30*2</t>
  </si>
  <si>
    <t xml:space="preserve">КРУГ</t>
  </si>
  <si>
    <t xml:space="preserve">50*50*2</t>
  </si>
  <si>
    <t xml:space="preserve">Круг</t>
  </si>
  <si>
    <t xml:space="preserve">6,5 (6м)</t>
  </si>
  <si>
    <t xml:space="preserve">50*50*3</t>
  </si>
  <si>
    <t xml:space="preserve">8 (6м)</t>
  </si>
  <si>
    <t xml:space="preserve">60*30*2</t>
  </si>
  <si>
    <t xml:space="preserve">10 (6м)</t>
  </si>
  <si>
    <t xml:space="preserve">60*30*3</t>
  </si>
  <si>
    <t xml:space="preserve">12 (11,7м)</t>
  </si>
  <si>
    <t xml:space="preserve">60*40*2</t>
  </si>
  <si>
    <t xml:space="preserve">14 (6м)</t>
  </si>
  <si>
    <t xml:space="preserve">60*40*3</t>
  </si>
  <si>
    <t xml:space="preserve">16 (11,7м)</t>
  </si>
  <si>
    <t xml:space="preserve">60*60*2</t>
  </si>
  <si>
    <t xml:space="preserve">КАТАНКА в бухтах</t>
  </si>
  <si>
    <t xml:space="preserve">60*60*3</t>
  </si>
  <si>
    <t xml:space="preserve">Катанка</t>
  </si>
  <si>
    <t xml:space="preserve">80*40*2</t>
  </si>
  <si>
    <t xml:space="preserve">80*40*3</t>
  </si>
  <si>
    <t xml:space="preserve">ДВУТАВРОВАЯ БАЛКА, 12м</t>
  </si>
  <si>
    <t xml:space="preserve">80*60*3</t>
  </si>
  <si>
    <t xml:space="preserve">Балка, 12м</t>
  </si>
  <si>
    <t xml:space="preserve">80*80*2</t>
  </si>
  <si>
    <t xml:space="preserve">80*80*3</t>
  </si>
  <si>
    <t xml:space="preserve">80*80*4</t>
  </si>
  <si>
    <t xml:space="preserve">100*100*3</t>
  </si>
  <si>
    <t xml:space="preserve">100*100*4</t>
  </si>
  <si>
    <t xml:space="preserve">КВАДРАТ, 6м</t>
  </si>
  <si>
    <t xml:space="preserve">100*50*3</t>
  </si>
  <si>
    <t xml:space="preserve">Квадрат</t>
  </si>
  <si>
    <t xml:space="preserve">120*120*4</t>
  </si>
  <si>
    <t xml:space="preserve">15*15*1,5</t>
  </si>
  <si>
    <t xml:space="preserve">ТРУБА ЭлектроГазоСварная (круглая)</t>
  </si>
  <si>
    <t xml:space="preserve">Труба ВГП</t>
  </si>
  <si>
    <t xml:space="preserve">15*2,8(1+1/4)</t>
  </si>
  <si>
    <t xml:space="preserve">ЛИСТ гарячекатанный (Г/К)</t>
  </si>
  <si>
    <t xml:space="preserve">20*2,8(3/4)</t>
  </si>
  <si>
    <t xml:space="preserve">Лист (Г/К)</t>
  </si>
  <si>
    <t xml:space="preserve">2*1000*2000</t>
  </si>
  <si>
    <t xml:space="preserve">25*2,8(1+1/4)</t>
  </si>
  <si>
    <t xml:space="preserve">2*1250*2500</t>
  </si>
  <si>
    <t xml:space="preserve">32*2,8</t>
  </si>
  <si>
    <t xml:space="preserve">3*1000*2000</t>
  </si>
  <si>
    <t xml:space="preserve">40*3</t>
  </si>
  <si>
    <t xml:space="preserve">3*1250*2500</t>
  </si>
  <si>
    <t xml:space="preserve">Труба Э/С</t>
  </si>
  <si>
    <t xml:space="preserve">57*3</t>
  </si>
  <si>
    <t xml:space="preserve">4*1500*6000</t>
  </si>
  <si>
    <t xml:space="preserve">76*3</t>
  </si>
  <si>
    <t xml:space="preserve">6*1500*6000</t>
  </si>
  <si>
    <t xml:space="preserve">89*3</t>
  </si>
  <si>
    <t xml:space="preserve">8*1500*6000</t>
  </si>
  <si>
    <t xml:space="preserve">102*3</t>
  </si>
  <si>
    <t xml:space="preserve">10*1500*6000</t>
  </si>
  <si>
    <t xml:space="preserve">133*4</t>
  </si>
  <si>
    <t xml:space="preserve">Лист Рифленный</t>
  </si>
  <si>
    <t xml:space="preserve">159*4</t>
  </si>
  <si>
    <t xml:space="preserve">Тр.бесш</t>
  </si>
  <si>
    <t xml:space="preserve">89*3,5</t>
  </si>
  <si>
    <t xml:space="preserve">ЛИСТ холоднокатанный (Х/К)</t>
  </si>
  <si>
    <t xml:space="preserve">УГОЛОК</t>
  </si>
  <si>
    <t xml:space="preserve">Лист (Х/К)</t>
  </si>
  <si>
    <t xml:space="preserve">1,2*1250*2500</t>
  </si>
  <si>
    <t xml:space="preserve">Уголок</t>
  </si>
  <si>
    <t xml:space="preserve">25*25*3</t>
  </si>
  <si>
    <t xml:space="preserve">1,5*1250*2500</t>
  </si>
  <si>
    <t xml:space="preserve">32*32*3</t>
  </si>
  <si>
    <t xml:space="preserve">40*40*4</t>
  </si>
  <si>
    <t xml:space="preserve">45*45*4</t>
  </si>
  <si>
    <t xml:space="preserve">ПОЛОСА,6м</t>
  </si>
  <si>
    <t xml:space="preserve">Полоса </t>
  </si>
  <si>
    <t xml:space="preserve">25*4</t>
  </si>
  <si>
    <t xml:space="preserve">50*50*5</t>
  </si>
  <si>
    <t xml:space="preserve">30*4</t>
  </si>
  <si>
    <t xml:space="preserve">63*63*5</t>
  </si>
  <si>
    <t xml:space="preserve">40*4</t>
  </si>
  <si>
    <t xml:space="preserve">75*75*5</t>
  </si>
  <si>
    <t xml:space="preserve">50*4</t>
  </si>
  <si>
    <t xml:space="preserve">75*75*6</t>
  </si>
  <si>
    <t xml:space="preserve">ПРОВОЛОКА вязальная в бунтах</t>
  </si>
  <si>
    <t xml:space="preserve">100*100*10</t>
  </si>
  <si>
    <t xml:space="preserve">Проволока </t>
  </si>
  <si>
    <t xml:space="preserve">100*100*7</t>
  </si>
  <si>
    <t xml:space="preserve">ШВЕЛЛЕР горячекатанный,12м</t>
  </si>
  <si>
    <t xml:space="preserve">Швеллер</t>
  </si>
  <si>
    <t xml:space="preserve">СЕТКА армировочная</t>
  </si>
  <si>
    <t xml:space="preserve">Сетка</t>
  </si>
  <si>
    <t xml:space="preserve">150*150*3</t>
  </si>
  <si>
    <t xml:space="preserve">150*150*4</t>
  </si>
  <si>
    <t xml:space="preserve">200*200*5</t>
  </si>
  <si>
    <t xml:space="preserve">Менеджер по данному товару +7978-138-68-58 </t>
  </si>
  <si>
    <r>
      <rPr>
        <b val="true"/>
        <sz val="11"/>
        <color rgb="FFFFFFFF"/>
        <rFont val="Arial Black"/>
        <family val="2"/>
        <charset val="204"/>
      </rPr>
      <t xml:space="preserve">ОБРАЩАТЬСЯ НА СКЛАД </t>
    </r>
    <r>
      <rPr>
        <b val="true"/>
        <sz val="18"/>
        <color rgb="FFFFFFFF"/>
        <rFont val="Arial Black"/>
        <family val="2"/>
        <charset val="204"/>
      </rPr>
      <t xml:space="preserve">№1(СТРОЙМАТЕРИАЛЫ)</t>
    </r>
  </si>
  <si>
    <t xml:space="preserve">Цена</t>
  </si>
  <si>
    <t xml:space="preserve">AKRIMAX Огнебиозащита ОБ-2  10 кг ак94</t>
  </si>
  <si>
    <t xml:space="preserve">шт</t>
  </si>
  <si>
    <t xml:space="preserve">Заглушка для труб квадр 40*40мм</t>
  </si>
  <si>
    <t xml:space="preserve">AKRIMAX Огнебиозащита ОБ-2  5 кг ак95</t>
  </si>
  <si>
    <t xml:space="preserve">Заглушка для труб квадр 50*50мм</t>
  </si>
  <si>
    <t xml:space="preserve">BeLEko 14кг фасадная 20277</t>
  </si>
  <si>
    <t xml:space="preserve">Заглушка для труб квадр 60*60мм</t>
  </si>
  <si>
    <t xml:space="preserve">BELEKO для стен и потолков 14КГ 0178</t>
  </si>
  <si>
    <t xml:space="preserve">Заглушка для труб квадр 80*80мм</t>
  </si>
  <si>
    <t xml:space="preserve">BELEKO для стен и потолков 7КГ</t>
  </si>
  <si>
    <t xml:space="preserve">Заглушка для труб прямоуг 20*40мм</t>
  </si>
  <si>
    <t xml:space="preserve">Ceresit CM-14 Extra Клей для плитки 25кг</t>
  </si>
  <si>
    <t xml:space="preserve">Заглушка для труб прямоуг 20*60мм</t>
  </si>
  <si>
    <t xml:space="preserve">CERESIT ST 19 5 кг 7606</t>
  </si>
  <si>
    <t xml:space="preserve">Заглушка для труб прямоуг 40*60мм</t>
  </si>
  <si>
    <t xml:space="preserve">CERESIT ST16   10л</t>
  </si>
  <si>
    <t xml:space="preserve">Затирка Bergauf бежевая 2 кг</t>
  </si>
  <si>
    <t xml:space="preserve">CERESIT ST16   5л</t>
  </si>
  <si>
    <t xml:space="preserve">Известь негашенная 2кг з00159</t>
  </si>
  <si>
    <t xml:space="preserve">CERESIT ST-19  15 кг</t>
  </si>
  <si>
    <t xml:space="preserve">Изолента ПВХ 15мм</t>
  </si>
  <si>
    <t xml:space="preserve">OSB 12 1.25"2.50</t>
  </si>
  <si>
    <t xml:space="preserve">Кельма бетонщика 200мм</t>
  </si>
  <si>
    <t xml:space="preserve">OSB 15 1.25"2.50</t>
  </si>
  <si>
    <t xml:space="preserve">Кирпич шамотный</t>
  </si>
  <si>
    <t xml:space="preserve">OSB 18 1.25"2.50</t>
  </si>
  <si>
    <t xml:space="preserve">Кисть плоская 38мм ЕВРО</t>
  </si>
  <si>
    <t xml:space="preserve">OSB 22 1.25"2.50</t>
  </si>
  <si>
    <t xml:space="preserve">Кисть плоская 50мм ЕВРО</t>
  </si>
  <si>
    <t xml:space="preserve">Osb-9мм 1.25*2.50</t>
  </si>
  <si>
    <t xml:space="preserve">Кисть плоская 63мм ЕВРО</t>
  </si>
  <si>
    <t xml:space="preserve">Perfekta  Штукатурка декоративная шуба 25кг з00112</t>
  </si>
  <si>
    <t xml:space="preserve">Кисть радиаторная 38мм</t>
  </si>
  <si>
    <t xml:space="preserve">Perfekta короед 25кг</t>
  </si>
  <si>
    <t xml:space="preserve">Клей для плитки Эконом  25 кг</t>
  </si>
  <si>
    <t xml:space="preserve">Акцент Краска Грунт 15 кг 4013</t>
  </si>
  <si>
    <t xml:space="preserve">Клей ПВА AKRIMAX  1 кг ак61</t>
  </si>
  <si>
    <t xml:space="preserve">Акцент Краска Грунт 7,5 кг 4013</t>
  </si>
  <si>
    <t xml:space="preserve">Клей ПВА AKRIMAX  10кг ак60</t>
  </si>
  <si>
    <t xml:space="preserve">Арматура стеклокомпозитная D10 a3</t>
  </si>
  <si>
    <t xml:space="preserve">Клей ПВА AKRIMAX  3 кг ак62</t>
  </si>
  <si>
    <t xml:space="preserve">Арматура стеклокомпозитная D12 a4</t>
  </si>
  <si>
    <t xml:space="preserve">Колодец КС10.6(диам внутр 100см,высота 60см)</t>
  </si>
  <si>
    <t xml:space="preserve">Арматура стеклокомпозитная D6 a1</t>
  </si>
  <si>
    <t xml:space="preserve">Колодец КС10.9(дим внутр 100см,высота 90см)</t>
  </si>
  <si>
    <t xml:space="preserve">Арматура стеклокомпозитная D8 a2</t>
  </si>
  <si>
    <t xml:space="preserve">Краска Колер 0.1 л з1050</t>
  </si>
  <si>
    <t xml:space="preserve">Бетон - контакт CHAMELEON 12 кг 48088</t>
  </si>
  <si>
    <t xml:space="preserve">Креп. Уголок  равносторнний 30*30*30 к217</t>
  </si>
  <si>
    <t xml:space="preserve">Бетон - контакт CHAMELEON 6 кг 48071</t>
  </si>
  <si>
    <t xml:space="preserve">Креп. Уголок  равносторнний 40*40*40 к217</t>
  </si>
  <si>
    <t xml:space="preserve">Бетоносмеситель БРСГ 190 б190</t>
  </si>
  <si>
    <t xml:space="preserve">Креп. Уголок  равносторнний 50*50*50 к216</t>
  </si>
  <si>
    <t xml:space="preserve">Биозащита Fobos 5кг 1:5 концентрат красный</t>
  </si>
  <si>
    <t xml:space="preserve">Лак 0.75 з00018</t>
  </si>
  <si>
    <t xml:space="preserve">БРСГ 190 с фиксатором</t>
  </si>
  <si>
    <t xml:space="preserve">Лезвие для ножа 18 мм к300</t>
  </si>
  <si>
    <t xml:space="preserve">Ведро строительное пластмассовое 12л з00003</t>
  </si>
  <si>
    <t xml:space="preserve">Леска строительная, Красная 1 мм 17695</t>
  </si>
  <si>
    <t xml:space="preserve">Ведро строительное пластмассовое 16л я002</t>
  </si>
  <si>
    <t xml:space="preserve">Леска строительная, Красная 1 мм50м на катушке</t>
  </si>
  <si>
    <t xml:space="preserve">Ведро строительное пластмассовое 20л з00004</t>
  </si>
  <si>
    <t xml:space="preserve">Литокс старт 30кг</t>
  </si>
  <si>
    <t xml:space="preserve">Веревка вязаная полипроп.6мм*20м=120кгс</t>
  </si>
  <si>
    <t xml:space="preserve">Лом 04А140 с гвоздодером 300х21мм TOPEX</t>
  </si>
  <si>
    <t xml:space="preserve">Гвозди 150*5,0 к246</t>
  </si>
  <si>
    <t xml:space="preserve">Лом 04А140 с гвоздодером 400х21мм TOPEX</t>
  </si>
  <si>
    <t xml:space="preserve">Гидробарьер Пароспанд Серебро 60 кв,м з00204</t>
  </si>
  <si>
    <t xml:space="preserve">Лом 04А160 с гвоздодером 600х25мм TOPEX</t>
  </si>
  <si>
    <t xml:space="preserve">Гипс строительный Г-5 35 кг</t>
  </si>
  <si>
    <t xml:space="preserve">Лом 04А175 с гвоздодером 750х30мм TOPEX</t>
  </si>
  <si>
    <t xml:space="preserve">глина шамотная</t>
  </si>
  <si>
    <t xml:space="preserve">Лом 04А190 с гвоздодером 900х30мм TOPEX</t>
  </si>
  <si>
    <t xml:space="preserve">Грунт акриловый Эконом Био 10л з00143</t>
  </si>
  <si>
    <t xml:space="preserve">Люк композитный круглый 68см</t>
  </si>
  <si>
    <t xml:space="preserve">Грунт акриловый Эконом Био 1л</t>
  </si>
  <si>
    <t xml:space="preserve">Люк композитный С-15</t>
  </si>
  <si>
    <t xml:space="preserve">Грунт акриловый Эконом Био 5л</t>
  </si>
  <si>
    <t xml:space="preserve">Люк композитный Т-25</t>
  </si>
  <si>
    <t xml:space="preserve">Гудхим Пластификатор для штук-ки 5л Зима</t>
  </si>
  <si>
    <t xml:space="preserve">Макловица 30*130 00561</t>
  </si>
  <si>
    <t xml:space="preserve">Гудхим Противоморозная добавка  5л з00213</t>
  </si>
  <si>
    <t xml:space="preserve">Макловица 40*140мм з00413</t>
  </si>
  <si>
    <t xml:space="preserve">Гудхим Противоморозная добавка 1л з00213</t>
  </si>
  <si>
    <t xml:space="preserve">Макловица 50*150 00562</t>
  </si>
  <si>
    <t xml:space="preserve">Гудхим Протиморозная добавка 10л з00214</t>
  </si>
  <si>
    <t xml:space="preserve">Макловица 50*180 з00417</t>
  </si>
  <si>
    <t xml:space="preserve">Гудхим суперпластификатор  теплый пол 1л 3285</t>
  </si>
  <si>
    <t xml:space="preserve">Маяк штукатурный  10-3м з00162</t>
  </si>
  <si>
    <t xml:space="preserve">Гудхим суперпластификатор 1л з00197</t>
  </si>
  <si>
    <t xml:space="preserve">Маяк штукатурный 6-3м з00164</t>
  </si>
  <si>
    <t xml:space="preserve">Гудхим суперпластификатор 5л 2817</t>
  </si>
  <si>
    <t xml:space="preserve">Мешок пластиковый 50 л зеленый з00888</t>
  </si>
  <si>
    <t xml:space="preserve">Гудхим суперпластификатор для бетона 10л 2824</t>
  </si>
  <si>
    <t xml:space="preserve">Мешок полиэтиленовый</t>
  </si>
  <si>
    <t xml:space="preserve">Гудхим теплый пол 10л 6696</t>
  </si>
  <si>
    <t xml:space="preserve">Мин. Изоляция R44MR ECOROLL 50  17,2 м.кв.</t>
  </si>
  <si>
    <t xml:space="preserve">Гудхим теплый пол 5л 6689</t>
  </si>
  <si>
    <t xml:space="preserve">Моющее средство 5л</t>
  </si>
  <si>
    <t xml:space="preserve">Гудхим Формиат натрия 10л</t>
  </si>
  <si>
    <t xml:space="preserve">Шифер</t>
  </si>
  <si>
    <t xml:space="preserve">Гудхим Формиат натрия 5л</t>
  </si>
  <si>
    <t xml:space="preserve">Недра клей для Газобетона 25 кг</t>
  </si>
  <si>
    <t xml:space="preserve">Диск Cutop по мет. 125*1.0*22.2мм</t>
  </si>
  <si>
    <t xml:space="preserve">НЕДРА Термослой  универсал 25 кг</t>
  </si>
  <si>
    <t xml:space="preserve">Диск HAMER 125,  1,2 к206</t>
  </si>
  <si>
    <t xml:space="preserve">Недра Штукатурка на цем. основе 25 кг</t>
  </si>
  <si>
    <t xml:space="preserve">Жидкое мыло 5л з00202</t>
  </si>
  <si>
    <t xml:space="preserve">Нить капроновая Ассорти</t>
  </si>
  <si>
    <t xml:space="preserve">Жидкое стекло   ЭКО 1.5 кг</t>
  </si>
  <si>
    <t xml:space="preserve">Нож ПРАКТИК  18 мм ф4</t>
  </si>
  <si>
    <t xml:space="preserve">Жидкое стекло   ЭКО 3кг</t>
  </si>
  <si>
    <t xml:space="preserve">Ножовка 10А441 Алигатор по дер  400мм TOPEX</t>
  </si>
  <si>
    <t xml:space="preserve">Жидкое стекло   ЭКО 7кг</t>
  </si>
  <si>
    <t xml:space="preserve">Утеплитель Урса плита 9м.кв 5см</t>
  </si>
  <si>
    <t xml:space="preserve">Заглушка для труб квадр 100*100мм</t>
  </si>
  <si>
    <t xml:space="preserve">Фибра 1кг</t>
  </si>
  <si>
    <t xml:space="preserve">Заглушка для труб квадр 15*15мм</t>
  </si>
  <si>
    <t xml:space="preserve">Пена ручная Bastion-Pro 30л</t>
  </si>
  <si>
    <t xml:space="preserve">OSB 6 1.25"2.50</t>
  </si>
  <si>
    <t xml:space="preserve">Пена-цемент Makroflex для газобетона 850мл</t>
  </si>
  <si>
    <t xml:space="preserve">OSB 9 1.25"2.50</t>
  </si>
  <si>
    <t xml:space="preserve">Пенетрон ведро 5кг</t>
  </si>
  <si>
    <t xml:space="preserve">OSB 10 1.25"2.50</t>
  </si>
  <si>
    <t xml:space="preserve">Гудхим суперпластификатор для фундамента 5л</t>
  </si>
  <si>
    <t xml:space="preserve">Гудхим суперпластификатор теплый пол 10л</t>
  </si>
  <si>
    <t xml:space="preserve">OSB 9мм 1.22*2.44</t>
  </si>
  <si>
    <t xml:space="preserve">Пленка строительное полотно серое 0,8</t>
  </si>
  <si>
    <t xml:space="preserve">OSB 12мм 1.22*2.44</t>
  </si>
  <si>
    <t xml:space="preserve">Фанера ламинированная 1.22*2.44м18мм Китай</t>
  </si>
  <si>
    <t xml:space="preserve">Недра Цементно песчаная смесь М150 25кг</t>
  </si>
  <si>
    <t xml:space="preserve">Фанера ламинир.береза Плайтера 1.22*2.44м18мм Россия</t>
  </si>
  <si>
    <t xml:space="preserve">Недра Штукатурка на цементной основе 25кг</t>
  </si>
  <si>
    <t xml:space="preserve">Пенопласт 25 3см Утепляйка</t>
  </si>
  <si>
    <t xml:space="preserve">Старатели штукатурка Старт профи 30кг</t>
  </si>
  <si>
    <t xml:space="preserve">Пенопласт 25 4см Утепляйка</t>
  </si>
  <si>
    <t xml:space="preserve">Старатель Шпаллевка финишная  КР 20кг</t>
  </si>
  <si>
    <t xml:space="preserve">Пенопласт 25 5см Утепляйка</t>
  </si>
  <si>
    <t xml:space="preserve">Старатель Шпаллевка фасадно финишная 20кг</t>
  </si>
  <si>
    <t xml:space="preserve">Пеноплэкс Основа 3см</t>
  </si>
  <si>
    <t xml:space="preserve">Старатели Наливной пол Практичный 20кг</t>
  </si>
  <si>
    <t xml:space="preserve">Пеноплэкс Комфорт 4см</t>
  </si>
  <si>
    <t xml:space="preserve">Старатели Клей плиточный ПЛЮС 25 кг</t>
  </si>
  <si>
    <t xml:space="preserve">Пеноплэкс Комфорт 5см</t>
  </si>
  <si>
    <t xml:space="preserve">Клей Боларс для плитки Стандарт серый 25кг</t>
  </si>
  <si>
    <t xml:space="preserve">Фибра стекловолоконная 1кг</t>
  </si>
  <si>
    <t xml:space="preserve">Сетка армировочная 100*100(3.0мм)1*2м</t>
  </si>
  <si>
    <t xml:space="preserve">Фибра полипропеленовая 1 кг</t>
  </si>
  <si>
    <t xml:space="preserve">Сетка армировочная 150*150(3.0мм)1*2м</t>
  </si>
  <si>
    <t xml:space="preserve">Арматура стеклокомпозитная D6</t>
  </si>
  <si>
    <t xml:space="preserve">Сетка рабица оц.60*60 1.6(1500см)</t>
  </si>
  <si>
    <t xml:space="preserve">Арматура стеклокомпозитная D8</t>
  </si>
  <si>
    <t xml:space="preserve">Сетка Желтая Goodhim 145г\м 45м</t>
  </si>
  <si>
    <t xml:space="preserve">Арматура стеклокомпозитная D10</t>
  </si>
  <si>
    <t xml:space="preserve">Сетка фасадная 160 синяя</t>
  </si>
  <si>
    <t xml:space="preserve">Арматура стеклокомпозитная D12</t>
  </si>
  <si>
    <t xml:space="preserve">Утеплитель Ursa рулон 24 кв.м.</t>
  </si>
  <si>
    <t xml:space="preserve">Труба а.ц 100 4м</t>
  </si>
  <si>
    <t xml:space="preserve">Технофас Роклайт (600*1200*50мм) 8.64 кв.м.</t>
  </si>
  <si>
    <t xml:space="preserve">Труба а.ц 150 4м</t>
  </si>
  <si>
    <t xml:space="preserve">Шифер1750*1130*5,2мм Волгоград</t>
  </si>
  <si>
    <t xml:space="preserve">Труба а.ц 200 4м</t>
  </si>
  <si>
    <t xml:space="preserve">Правило 1м</t>
  </si>
  <si>
    <t xml:space="preserve">Цемент белый 52.5R Д500 50кг Египет</t>
  </si>
  <si>
    <t xml:space="preserve">Правило 3 м</t>
  </si>
  <si>
    <t xml:space="preserve">Бетоносмеситель БРСГ 190</t>
  </si>
  <si>
    <t xml:space="preserve">Тачка 1 колесная строительная усиленная  110/200 кг черная</t>
  </si>
  <si>
    <t xml:space="preserve">Бетоносмеситель БРСГ 190 с фиксатором</t>
  </si>
  <si>
    <t xml:space="preserve">WB 300D(4.00-8)Тачка строительная с 2 пневмо.колеса TSUNAMI</t>
  </si>
  <si>
    <t xml:space="preserve">Бордюр 100*20*8</t>
  </si>
  <si>
    <t xml:space="preserve">Электроды АНО 21 Монолит 2,5 кг 3.0</t>
  </si>
  <si>
    <t xml:space="preserve">Виноградный кол б\у 2.4м</t>
  </si>
  <si>
    <t xml:space="preserve">Электроды Hyundai 2.6*350мм 2,5кг</t>
  </si>
  <si>
    <t xml:space="preserve">Кол виноградный новый</t>
  </si>
  <si>
    <t xml:space="preserve">Шпатель 100мм ALG</t>
  </si>
  <si>
    <t xml:space="preserve">Гвоздь Строитиельный в ассортименте</t>
  </si>
  <si>
    <t xml:space="preserve">Шпатель  300мм ALG</t>
  </si>
  <si>
    <t xml:space="preserve">Рубероид РПП 15м</t>
  </si>
  <si>
    <t xml:space="preserve">Кельма плиточника "Трапеция"</t>
  </si>
  <si>
    <t xml:space="preserve">Стеклоизол рулон 9м ХКП 2,1 ТЕХНОНИКОЛЬ нижний слой</t>
  </si>
  <si>
    <t xml:space="preserve">Терка пенопласт 13*25мм</t>
  </si>
  <si>
    <t xml:space="preserve">Стеклоизол  9м ХКП 3,5 ТЕХНОНИКОЛЬ верхний слой</t>
  </si>
  <si>
    <t xml:space="preserve">Терка пенопласт 500мм</t>
  </si>
  <si>
    <t xml:space="preserve">Гипсокартон влагостойкий(ГКЛВ) Knauf 2500х1200х9,5 мм</t>
  </si>
  <si>
    <t xml:space="preserve">Терка полиуретановая 120*240 мм</t>
  </si>
  <si>
    <t xml:space="preserve">Гипсокартон влагостойкий(ГКЛВ) Knauf 2500х1200х12,5 мм</t>
  </si>
  <si>
    <t xml:space="preserve">Терка полиуретановая 180*320 мм</t>
  </si>
  <si>
    <t xml:space="preserve">Гипсокартон (ГКЛ) Knauf 2500х1200х9,5 мм</t>
  </si>
  <si>
    <t xml:space="preserve">Мешок пластиковый 50 л зеленый</t>
  </si>
  <si>
    <t xml:space="preserve">Гипсокартон (ГКЛ) Knauf 2500х1200х12,5 мм</t>
  </si>
  <si>
    <t xml:space="preserve">Мешок полиэтиленовый 40*78см</t>
  </si>
  <si>
    <t xml:space="preserve">Профиль CD 60*27(0.4+) 3м</t>
  </si>
  <si>
    <t xml:space="preserve">Таз прямоугольный пластик 45л</t>
  </si>
  <si>
    <t xml:space="preserve">Профиль UD 27*28(0.4+) 3м</t>
  </si>
  <si>
    <t xml:space="preserve">Таз прямоугольный пластик 90л</t>
  </si>
  <si>
    <t xml:space="preserve">Подвес профильный 0,7/125</t>
  </si>
  <si>
    <t xml:space="preserve">Ведро строительное пластмассовое 12л</t>
  </si>
  <si>
    <t xml:space="preserve">Грунтовка концентрат Акващит 1:10 5л</t>
  </si>
  <si>
    <t xml:space="preserve">Ведро строительное пластмассовое 20л</t>
  </si>
  <si>
    <t xml:space="preserve">Грунт акриловый  ARBON 5л</t>
  </si>
  <si>
    <t xml:space="preserve">Ведро оцинкованное 12 л</t>
  </si>
  <si>
    <t xml:space="preserve">Боларс грунт акрил универсальный 5кг</t>
  </si>
  <si>
    <t xml:space="preserve">Лопата совковая</t>
  </si>
  <si>
    <t xml:space="preserve">Боларс грунт акрил глуб проникнов 5 кг</t>
  </si>
  <si>
    <t xml:space="preserve">Лопата штыковая</t>
  </si>
  <si>
    <t xml:space="preserve">Известь негашеная 5кг</t>
  </si>
  <si>
    <t xml:space="preserve">ЭКОМИКС</t>
  </si>
  <si>
    <t xml:space="preserve">Маяк штукатурный  6мм-3м</t>
  </si>
  <si>
    <t xml:space="preserve">Экомикс Штукатурка Старт BS 202</t>
  </si>
  <si>
    <t xml:space="preserve">Маяк штукатурный  10мм-3м</t>
  </si>
  <si>
    <t xml:space="preserve">Экомикс Стяжка BS 401</t>
  </si>
  <si>
    <t xml:space="preserve">Утеплитель напыляемый Термо 890мл Profpur</t>
  </si>
  <si>
    <t xml:space="preserve">Экомикс Самовыравнивающийся наливной пол BS 405</t>
  </si>
  <si>
    <t xml:space="preserve">Технониколь  45 PROFESSIONAL 750гр проф.</t>
  </si>
  <si>
    <t xml:space="preserve">Экомикс Клей для системы теплоизоляции BS 106</t>
  </si>
  <si>
    <t xml:space="preserve">Клей для плитки СУПЕР BS 104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</si>
</sst>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General"/>
    <numFmt numFmtId="167" formatCode="@"/>
    <numFmt numFmtId="168" formatCode="0"/>
    <numFmt numFmtId="169" formatCode="0.0"/>
  </numFmts>
  <fonts count="2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2060"/>
      <name val="Calibri"/>
      <family val="2"/>
      <charset val="204"/>
    </font>
    <font>
      <sz val="11"/>
      <color rgb="FF002060"/>
      <name val="Calibri"/>
      <family val="2"/>
      <charset val="1"/>
    </font>
    <font>
      <sz val="11"/>
      <color rgb="FF002060"/>
      <name val="Arial Black"/>
      <family val="2"/>
      <charset val="204"/>
    </font>
    <font>
      <sz val="30"/>
      <color rgb="FF002060"/>
      <name val="Arial Black"/>
      <family val="2"/>
      <charset val="204"/>
    </font>
    <font>
      <sz val="32"/>
      <color rgb="FF002060"/>
      <name val="Arial Black"/>
      <family val="2"/>
      <charset val="204"/>
    </font>
    <font>
      <sz val="22"/>
      <color rgb="FF002060"/>
      <name val="Arial Black"/>
      <family val="2"/>
      <charset val="204"/>
    </font>
    <font>
      <b val="true"/>
      <sz val="9"/>
      <color rgb="FF002060"/>
      <name val="Calibri"/>
      <family val="2"/>
      <charset val="204"/>
    </font>
    <font>
      <u val="single"/>
      <sz val="14"/>
      <color rgb="FF002060"/>
      <name val="Arial Black"/>
      <family val="2"/>
      <charset val="204"/>
    </font>
    <font>
      <u val="single"/>
      <sz val="11"/>
      <color rgb="FF0000FF"/>
      <name val="Calibri"/>
      <family val="2"/>
      <charset val="1"/>
    </font>
    <font>
      <sz val="11"/>
      <color rgb="FF002060"/>
      <name val="Calibri"/>
      <family val="2"/>
      <charset val="204"/>
    </font>
    <font>
      <b val="true"/>
      <sz val="14"/>
      <color rgb="FF002060"/>
      <name val="Calibri"/>
      <family val="2"/>
      <charset val="204"/>
    </font>
    <font>
      <b val="true"/>
      <sz val="65"/>
      <color rgb="FFFFFFFF"/>
      <name val="Times New Roman"/>
      <family val="0"/>
      <charset val="204"/>
    </font>
    <font>
      <b val="true"/>
      <sz val="11"/>
      <color rgb="FF000000"/>
      <name val="Arial Black"/>
      <family val="2"/>
      <charset val="204"/>
    </font>
    <font>
      <b val="true"/>
      <sz val="11"/>
      <color rgb="FFFFFFFF"/>
      <name val="Arial Black"/>
      <family val="2"/>
      <charset val="204"/>
    </font>
    <font>
      <b val="true"/>
      <sz val="18"/>
      <color rgb="FFFFFFFF"/>
      <name val="Arial Black"/>
      <family val="2"/>
      <charset val="204"/>
    </font>
    <font>
      <b val="true"/>
      <sz val="11"/>
      <color rgb="FF262626"/>
      <name val="Arial Black"/>
      <family val="2"/>
      <charset val="204"/>
    </font>
    <font>
      <sz val="11"/>
      <color rgb="FF262626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B050"/>
        <bgColor rgb="FF0DB7B3"/>
      </patternFill>
    </fill>
    <fill>
      <patternFill patternType="solid">
        <fgColor rgb="FFA9D18E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  <fill>
      <patternFill patternType="solid">
        <fgColor rgb="FF0DB7B3"/>
        <bgColor rgb="FF00CCFF"/>
      </patternFill>
    </fill>
    <fill>
      <patternFill patternType="solid">
        <fgColor rgb="FFFF0000"/>
        <bgColor rgb="FF993300"/>
      </patternFill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35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7" fillId="7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7" borderId="6" xfId="0" applyFont="true" applyBorder="true" applyAlignment="true" applyProtection="false">
      <alignment horizontal="center" vertical="center" textRotation="91" wrapText="false" indent="0" shrinkToFit="false"/>
      <protection locked="true" hidden="false"/>
    </xf>
    <xf numFmtId="168" fontId="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7" borderId="2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0" borderId="3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0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0DB7B3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6.jpeg"/><Relationship Id="rId2" Type="http://schemas.openxmlformats.org/officeDocument/2006/relationships/image" Target="../media/image17.png"/><Relationship Id="rId3" Type="http://schemas.openxmlformats.org/officeDocument/2006/relationships/image" Target="../media/image18.png"/><Relationship Id="rId4" Type="http://schemas.openxmlformats.org/officeDocument/2006/relationships/image" Target="../media/image19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15120</xdr:colOff>
      <xdr:row>0</xdr:row>
      <xdr:rowOff>0</xdr:rowOff>
    </xdr:from>
    <xdr:to>
      <xdr:col>14</xdr:col>
      <xdr:colOff>6840</xdr:colOff>
      <xdr:row>10</xdr:row>
      <xdr:rowOff>47880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4999680" y="0"/>
          <a:ext cx="2563560" cy="1800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434520</xdr:colOff>
      <xdr:row>23</xdr:row>
      <xdr:rowOff>66600</xdr:rowOff>
    </xdr:from>
    <xdr:to>
      <xdr:col>11</xdr:col>
      <xdr:colOff>365400</xdr:colOff>
      <xdr:row>27</xdr:row>
      <xdr:rowOff>57600</xdr:rowOff>
    </xdr:to>
    <xdr:pic>
      <xdr:nvPicPr>
        <xdr:cNvPr id="1" name="Рисунок 2" descr=""/>
        <xdr:cNvPicPr/>
      </xdr:nvPicPr>
      <xdr:blipFill>
        <a:blip r:embed="rId2"/>
        <a:stretch/>
      </xdr:blipFill>
      <xdr:spPr>
        <a:xfrm>
          <a:off x="5843160" y="4249800"/>
          <a:ext cx="769320" cy="714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91440</xdr:colOff>
      <xdr:row>12</xdr:row>
      <xdr:rowOff>30600</xdr:rowOff>
    </xdr:from>
    <xdr:to>
      <xdr:col>13</xdr:col>
      <xdr:colOff>75600</xdr:colOff>
      <xdr:row>20</xdr:row>
      <xdr:rowOff>174600</xdr:rowOff>
    </xdr:to>
    <xdr:pic>
      <xdr:nvPicPr>
        <xdr:cNvPr id="2" name="Рисунок 3" descr=""/>
        <xdr:cNvPicPr/>
      </xdr:nvPicPr>
      <xdr:blipFill>
        <a:blip r:embed="rId3"/>
        <a:stretch/>
      </xdr:blipFill>
      <xdr:spPr>
        <a:xfrm>
          <a:off x="5076000" y="2125800"/>
          <a:ext cx="2374920" cy="1645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22680</xdr:colOff>
      <xdr:row>43</xdr:row>
      <xdr:rowOff>37080</xdr:rowOff>
    </xdr:from>
    <xdr:to>
      <xdr:col>15</xdr:col>
      <xdr:colOff>19800</xdr:colOff>
      <xdr:row>51</xdr:row>
      <xdr:rowOff>47880</xdr:rowOff>
    </xdr:to>
    <xdr:pic>
      <xdr:nvPicPr>
        <xdr:cNvPr id="3" name="Рисунок 4" descr=""/>
        <xdr:cNvPicPr/>
      </xdr:nvPicPr>
      <xdr:blipFill>
        <a:blip r:embed="rId4"/>
        <a:stretch/>
      </xdr:blipFill>
      <xdr:spPr>
        <a:xfrm>
          <a:off x="4559400" y="7930440"/>
          <a:ext cx="3619800" cy="12988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13</xdr:col>
      <xdr:colOff>6120</xdr:colOff>
      <xdr:row>0</xdr:row>
      <xdr:rowOff>1440</xdr:rowOff>
    </xdr:from>
    <xdr:to>
      <xdr:col>14</xdr:col>
      <xdr:colOff>322560</xdr:colOff>
      <xdr:row>65</xdr:row>
      <xdr:rowOff>87120</xdr:rowOff>
    </xdr:to>
    <xdr:sp>
      <xdr:nvSpPr>
        <xdr:cNvPr id="4" name="Прямоугольник 1"/>
        <xdr:cNvSpPr/>
      </xdr:nvSpPr>
      <xdr:spPr>
        <a:xfrm rot="16200000">
          <a:off x="2275560" y="5251320"/>
          <a:ext cx="11812680" cy="1312200"/>
        </a:xfrm>
        <a:prstGeom prst="rect">
          <a:avLst/>
        </a:prstGeom>
        <a:solidFill>
          <a:srgbClr val="0db7b3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ru-RU" sz="6500" spc="-1" strike="noStrike">
              <a:solidFill>
                <a:srgbClr val="ffffff"/>
              </a:solidFill>
              <a:latin typeface="Times New Roman"/>
            </a:rPr>
            <a:t>МЕТАЛЛОБАЗА НА ДАНИЛОВА,55</a:t>
          </a:r>
          <a:endParaRPr b="0" lang="ru-RU" sz="65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emdvor.com/" TargetMode="External"/><Relationship Id="rId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6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5625" defaultRowHeight="13.8" zeroHeight="false" outlineLevelRow="0" outlineLevelCol="0"/>
  <cols>
    <col collapsed="false" customWidth="true" hidden="false" outlineLevel="0" max="1" min="1" style="0" width="25.33"/>
    <col collapsed="false" customWidth="true" hidden="false" outlineLevel="0" max="2" min="2" style="0" width="5.1"/>
    <col collapsed="false" customWidth="true" hidden="false" outlineLevel="0" max="3" min="3" style="0" width="7.22"/>
    <col collapsed="false" customWidth="true" hidden="false" outlineLevel="0" max="4" min="4" style="0" width="6.22"/>
    <col collapsed="false" customWidth="true" hidden="false" outlineLevel="0" max="6" min="5" style="0" width="6.78"/>
    <col collapsed="false" customWidth="true" hidden="false" outlineLevel="0" max="7" min="7" style="0" width="6.88"/>
    <col collapsed="false" customWidth="true" hidden="false" outlineLevel="0" max="8" min="8" style="0" width="6.35"/>
    <col collapsed="false" customWidth="true" hidden="false" outlineLevel="0" max="9" min="9" style="0" width="6.01"/>
    <col collapsed="false" customWidth="true" hidden="false" outlineLevel="0" max="10" min="10" style="0" width="6.78"/>
    <col collapsed="false" customWidth="true" hidden="false" outlineLevel="0" max="11" min="11" style="0" width="5.1"/>
    <col collapsed="false" customWidth="true" hidden="false" outlineLevel="0" max="12" min="12" style="0" width="7.44"/>
    <col collapsed="false" customWidth="true" hidden="false" outlineLevel="0" max="14" min="14" style="0" width="2.57"/>
  </cols>
  <sheetData>
    <row r="1" customFormat="false" ht="13.8" hidden="false" customHeight="false" outlineLevel="0" collapsed="false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customFormat="false" ht="13.8" hidden="false" customHeight="false" outlineLevel="0" collapsed="false">
      <c r="A2" s="1"/>
      <c r="B2" s="1"/>
      <c r="C2" s="4" t="s">
        <v>2</v>
      </c>
      <c r="D2" s="4"/>
      <c r="E2" s="4" t="s">
        <v>3</v>
      </c>
      <c r="F2" s="4"/>
      <c r="G2" s="5" t="s">
        <v>4</v>
      </c>
      <c r="H2" s="5"/>
      <c r="I2" s="3"/>
      <c r="J2" s="3"/>
      <c r="K2" s="3"/>
      <c r="L2" s="3"/>
      <c r="M2" s="3"/>
      <c r="N2" s="3"/>
    </row>
    <row r="3" customFormat="false" ht="13.8" hidden="false" customHeight="false" outlineLevel="0" collapsed="false">
      <c r="A3" s="6" t="s">
        <v>5</v>
      </c>
      <c r="B3" s="7"/>
      <c r="C3" s="7" t="s">
        <v>6</v>
      </c>
      <c r="D3" s="7" t="s">
        <v>7</v>
      </c>
      <c r="E3" s="7" t="s">
        <v>6</v>
      </c>
      <c r="F3" s="7" t="s">
        <v>7</v>
      </c>
      <c r="G3" s="7" t="s">
        <v>6</v>
      </c>
      <c r="H3" s="8" t="s">
        <v>7</v>
      </c>
      <c r="I3" s="3"/>
      <c r="J3" s="3"/>
      <c r="K3" s="3"/>
      <c r="L3" s="3"/>
      <c r="M3" s="3"/>
      <c r="N3" s="3"/>
    </row>
    <row r="4" customFormat="false" ht="13.8" hidden="false" customHeight="false" outlineLevel="0" collapsed="false">
      <c r="A4" s="9" t="s">
        <v>8</v>
      </c>
      <c r="B4" s="10" t="s">
        <v>9</v>
      </c>
      <c r="C4" s="11" t="n">
        <v>135</v>
      </c>
      <c r="D4" s="10" t="n">
        <f aca="false">C4*40</f>
        <v>5400</v>
      </c>
      <c r="E4" s="11" t="n">
        <v>135</v>
      </c>
      <c r="F4" s="10" t="n">
        <v>5400</v>
      </c>
      <c r="G4" s="11" t="n">
        <v>135</v>
      </c>
      <c r="H4" s="12" t="n">
        <v>5400</v>
      </c>
      <c r="I4" s="3"/>
      <c r="J4" s="3"/>
      <c r="K4" s="3"/>
      <c r="L4" s="3"/>
      <c r="M4" s="3"/>
      <c r="N4" s="3"/>
    </row>
    <row r="5" customFormat="false" ht="13.8" hidden="false" customHeight="false" outlineLevel="0" collapsed="false">
      <c r="A5" s="13" t="s">
        <v>10</v>
      </c>
      <c r="B5" s="14" t="s">
        <v>11</v>
      </c>
      <c r="C5" s="15" t="n">
        <v>325</v>
      </c>
      <c r="D5" s="14" t="n">
        <f aca="false">C5*20</f>
        <v>6500</v>
      </c>
      <c r="E5" s="15" t="n">
        <v>325</v>
      </c>
      <c r="F5" s="14" t="n">
        <v>6500</v>
      </c>
      <c r="G5" s="15" t="n">
        <v>325</v>
      </c>
      <c r="H5" s="16" t="n">
        <v>6500</v>
      </c>
      <c r="I5" s="3"/>
      <c r="J5" s="3"/>
      <c r="K5" s="3"/>
      <c r="L5" s="3"/>
      <c r="M5" s="3"/>
      <c r="N5" s="3"/>
    </row>
    <row r="6" customFormat="false" ht="13.8" hidden="false" customHeight="false" outlineLevel="0" collapsed="false">
      <c r="A6" s="13" t="s">
        <v>12</v>
      </c>
      <c r="B6" s="14" t="s">
        <v>11</v>
      </c>
      <c r="C6" s="15" t="n">
        <v>310</v>
      </c>
      <c r="D6" s="14" t="n">
        <v>6200</v>
      </c>
      <c r="E6" s="15" t="n">
        <v>305</v>
      </c>
      <c r="F6" s="14" t="n">
        <v>6100</v>
      </c>
      <c r="G6" s="15" t="n">
        <v>305</v>
      </c>
      <c r="H6" s="16" t="n">
        <v>6100</v>
      </c>
      <c r="I6" s="3"/>
      <c r="J6" s="3"/>
      <c r="K6" s="3"/>
      <c r="L6" s="3"/>
      <c r="M6" s="3"/>
      <c r="N6" s="3"/>
    </row>
    <row r="7" customFormat="false" ht="13.8" hidden="false" customHeight="false" outlineLevel="0" collapsed="false">
      <c r="A7" s="13" t="s">
        <v>12</v>
      </c>
      <c r="B7" s="14" t="s">
        <v>9</v>
      </c>
      <c r="C7" s="15" t="n">
        <v>155</v>
      </c>
      <c r="D7" s="14" t="n">
        <f aca="false">C7*40</f>
        <v>6200</v>
      </c>
      <c r="E7" s="17" t="n">
        <v>152.5</v>
      </c>
      <c r="F7" s="14" t="n">
        <v>6100</v>
      </c>
      <c r="G7" s="15" t="n">
        <v>152.5</v>
      </c>
      <c r="H7" s="16" t="n">
        <v>6100</v>
      </c>
      <c r="I7" s="3"/>
      <c r="J7" s="3"/>
      <c r="K7" s="3"/>
      <c r="L7" s="3"/>
      <c r="M7" s="3"/>
      <c r="N7" s="3"/>
    </row>
    <row r="8" customFormat="false" ht="13.8" hidden="false" customHeight="false" outlineLevel="0" collapsed="false">
      <c r="A8" s="18" t="s">
        <v>13</v>
      </c>
      <c r="B8" s="19" t="s">
        <v>9</v>
      </c>
      <c r="C8" s="20" t="n">
        <v>145</v>
      </c>
      <c r="D8" s="19" t="n">
        <f aca="false">C8*40</f>
        <v>5800</v>
      </c>
      <c r="E8" s="20" t="n">
        <v>145</v>
      </c>
      <c r="F8" s="19" t="n">
        <f aca="false">E8*40</f>
        <v>5800</v>
      </c>
      <c r="G8" s="20" t="n">
        <v>145</v>
      </c>
      <c r="H8" s="21" t="n">
        <f aca="false">G8*40</f>
        <v>5800</v>
      </c>
      <c r="I8" s="3"/>
      <c r="J8" s="3"/>
      <c r="K8" s="3"/>
      <c r="L8" s="3"/>
      <c r="M8" s="3"/>
      <c r="N8" s="3"/>
    </row>
    <row r="9" customFormat="false" ht="13.8" hidden="false" customHeight="false" outlineLevel="0" collapsed="false">
      <c r="A9" s="13" t="s">
        <v>14</v>
      </c>
      <c r="B9" s="14" t="s">
        <v>9</v>
      </c>
      <c r="C9" s="15" t="n">
        <v>145</v>
      </c>
      <c r="D9" s="14" t="n">
        <v>5800</v>
      </c>
      <c r="E9" s="15" t="n">
        <v>145</v>
      </c>
      <c r="F9" s="14" t="n">
        <v>5800</v>
      </c>
      <c r="G9" s="15" t="n">
        <v>145</v>
      </c>
      <c r="H9" s="16" t="n">
        <v>5800</v>
      </c>
      <c r="I9" s="3"/>
      <c r="J9" s="3"/>
      <c r="K9" s="3"/>
      <c r="L9" s="3"/>
      <c r="M9" s="3"/>
      <c r="N9" s="3"/>
    </row>
    <row r="10" customFormat="false" ht="13.8" hidden="false" customHeight="false" outlineLevel="0" collapsed="false">
      <c r="A10" s="22" t="s">
        <v>15</v>
      </c>
      <c r="B10" s="22"/>
      <c r="C10" s="22"/>
      <c r="D10" s="22"/>
      <c r="E10" s="22"/>
      <c r="F10" s="22"/>
      <c r="G10" s="22"/>
      <c r="H10" s="22"/>
      <c r="I10" s="3"/>
      <c r="J10" s="3"/>
      <c r="K10" s="3"/>
      <c r="L10" s="3"/>
      <c r="M10" s="3"/>
      <c r="N10" s="3"/>
    </row>
    <row r="11" customFormat="false" ht="13.8" hidden="false" customHeight="false" outlineLevel="0" collapsed="false">
      <c r="A11" s="23" t="s">
        <v>12</v>
      </c>
      <c r="B11" s="24" t="s">
        <v>16</v>
      </c>
      <c r="C11" s="24"/>
      <c r="D11" s="25" t="n">
        <v>6000</v>
      </c>
      <c r="E11" s="26"/>
      <c r="F11" s="26"/>
      <c r="G11" s="26"/>
      <c r="H11" s="27"/>
      <c r="I11" s="3"/>
      <c r="J11" s="3"/>
      <c r="K11" s="3"/>
      <c r="L11" s="3"/>
      <c r="M11" s="3"/>
      <c r="N11" s="3"/>
    </row>
    <row r="12" customFormat="false" ht="13.2" hidden="false" customHeight="tru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28" t="s">
        <v>17</v>
      </c>
      <c r="K12" s="28"/>
      <c r="L12" s="28"/>
      <c r="M12" s="28"/>
      <c r="N12" s="3"/>
    </row>
    <row r="13" customFormat="false" ht="13.8" hidden="false" customHeight="false" outlineLevel="0" collapsed="false">
      <c r="A13" s="29" t="s">
        <v>18</v>
      </c>
      <c r="B13" s="30" t="s">
        <v>6</v>
      </c>
      <c r="C13" s="30" t="s">
        <v>19</v>
      </c>
      <c r="D13" s="31" t="s">
        <v>20</v>
      </c>
      <c r="E13" s="31"/>
      <c r="F13" s="31"/>
      <c r="G13" s="30" t="s">
        <v>6</v>
      </c>
      <c r="H13" s="32" t="s">
        <v>21</v>
      </c>
      <c r="I13" s="33"/>
      <c r="J13" s="33"/>
      <c r="K13" s="33"/>
      <c r="L13" s="33" t="s">
        <v>22</v>
      </c>
      <c r="M13" s="33"/>
      <c r="N13" s="33"/>
    </row>
    <row r="14" s="37" customFormat="true" ht="13.8" hidden="false" customHeight="false" outlineLevel="0" collapsed="false">
      <c r="A14" s="34" t="s">
        <v>23</v>
      </c>
      <c r="B14" s="15" t="n">
        <v>80</v>
      </c>
      <c r="C14" s="14" t="n">
        <v>1200</v>
      </c>
      <c r="D14" s="20" t="s">
        <v>24</v>
      </c>
      <c r="E14" s="20"/>
      <c r="F14" s="20"/>
      <c r="G14" s="35"/>
      <c r="H14" s="36" t="n">
        <v>5000</v>
      </c>
      <c r="I14" s="33"/>
      <c r="J14" s="33"/>
      <c r="K14" s="33"/>
      <c r="L14" s="33"/>
      <c r="M14" s="33"/>
      <c r="N14" s="33"/>
    </row>
    <row r="15" s="37" customFormat="true" ht="13.8" hidden="false" customHeight="false" outlineLevel="0" collapsed="false">
      <c r="A15" s="34" t="s">
        <v>25</v>
      </c>
      <c r="B15" s="15" t="n">
        <v>75</v>
      </c>
      <c r="C15" s="14" t="n">
        <v>1150</v>
      </c>
      <c r="D15" s="15" t="s">
        <v>26</v>
      </c>
      <c r="E15" s="15"/>
      <c r="F15" s="38" t="s">
        <v>27</v>
      </c>
      <c r="G15" s="15"/>
      <c r="H15" s="16" t="n">
        <v>900</v>
      </c>
      <c r="I15" s="33"/>
      <c r="J15" s="33"/>
      <c r="K15" s="33"/>
      <c r="L15" s="33"/>
      <c r="M15" s="33"/>
      <c r="N15" s="33"/>
    </row>
    <row r="16" s="37" customFormat="true" ht="18.6" hidden="false" customHeight="true" outlineLevel="0" collapsed="false">
      <c r="A16" s="34" t="s">
        <v>28</v>
      </c>
      <c r="B16" s="15"/>
      <c r="C16" s="14" t="n">
        <v>800</v>
      </c>
      <c r="D16" s="15" t="s">
        <v>29</v>
      </c>
      <c r="E16" s="15"/>
      <c r="F16" s="38" t="s">
        <v>30</v>
      </c>
      <c r="G16" s="15" t="n">
        <v>65</v>
      </c>
      <c r="H16" s="16" t="n">
        <v>1000</v>
      </c>
      <c r="I16" s="33"/>
      <c r="J16" s="39"/>
      <c r="K16" s="39"/>
      <c r="L16" s="39"/>
      <c r="M16" s="39"/>
      <c r="N16" s="39"/>
    </row>
    <row r="17" s="37" customFormat="true" ht="14.4" hidden="false" customHeight="true" outlineLevel="0" collapsed="false">
      <c r="A17" s="34" t="s">
        <v>31</v>
      </c>
      <c r="B17" s="15" t="n">
        <v>70</v>
      </c>
      <c r="C17" s="14" t="n">
        <v>1150</v>
      </c>
      <c r="D17" s="40" t="s">
        <v>32</v>
      </c>
      <c r="E17" s="40"/>
      <c r="F17" s="38" t="s">
        <v>30</v>
      </c>
      <c r="G17" s="15"/>
      <c r="H17" s="16" t="n">
        <v>750</v>
      </c>
      <c r="I17" s="33"/>
      <c r="J17" s="39"/>
      <c r="K17" s="39"/>
      <c r="L17" s="39"/>
      <c r="M17" s="39"/>
      <c r="N17" s="39"/>
    </row>
    <row r="18" s="37" customFormat="true" ht="14.4" hidden="false" customHeight="true" outlineLevel="0" collapsed="false">
      <c r="A18" s="34" t="s">
        <v>33</v>
      </c>
      <c r="B18" s="15"/>
      <c r="C18" s="14" t="n">
        <v>650</v>
      </c>
      <c r="D18" s="15" t="s">
        <v>34</v>
      </c>
      <c r="E18" s="15"/>
      <c r="F18" s="38" t="s">
        <v>30</v>
      </c>
      <c r="G18" s="15" t="n">
        <v>80</v>
      </c>
      <c r="H18" s="16" t="n">
        <v>1150</v>
      </c>
      <c r="I18" s="33"/>
      <c r="J18" s="39"/>
      <c r="K18" s="39"/>
      <c r="L18" s="39"/>
      <c r="M18" s="39"/>
      <c r="N18" s="39"/>
    </row>
    <row r="19" s="37" customFormat="true" ht="14.4" hidden="false" customHeight="true" outlineLevel="0" collapsed="false">
      <c r="A19" s="34" t="s">
        <v>35</v>
      </c>
      <c r="B19" s="15"/>
      <c r="C19" s="14" t="n">
        <v>900</v>
      </c>
      <c r="D19" s="15" t="s">
        <v>36</v>
      </c>
      <c r="E19" s="15"/>
      <c r="F19" s="41" t="s">
        <v>37</v>
      </c>
      <c r="G19" s="15"/>
      <c r="H19" s="16" t="n">
        <v>1150</v>
      </c>
      <c r="I19" s="33"/>
      <c r="J19" s="39"/>
      <c r="K19" s="39"/>
      <c r="L19" s="39"/>
      <c r="M19" s="39"/>
      <c r="N19" s="39"/>
    </row>
    <row r="20" s="37" customFormat="true" ht="15" hidden="false" customHeight="true" outlineLevel="0" collapsed="false">
      <c r="A20" s="42" t="s">
        <v>38</v>
      </c>
      <c r="B20" s="43" t="n">
        <v>45</v>
      </c>
      <c r="C20" s="44" t="n">
        <v>550</v>
      </c>
      <c r="D20" s="15" t="s">
        <v>39</v>
      </c>
      <c r="E20" s="15"/>
      <c r="F20" s="45" t="s">
        <v>27</v>
      </c>
      <c r="G20" s="15"/>
      <c r="H20" s="16" t="n">
        <v>650</v>
      </c>
      <c r="I20" s="3"/>
      <c r="J20" s="46"/>
      <c r="K20" s="46"/>
      <c r="L20" s="46"/>
      <c r="M20" s="46"/>
      <c r="N20" s="46"/>
    </row>
    <row r="21" customFormat="false" ht="14.4" hidden="false" customHeight="true" outlineLevel="0" collapsed="false">
      <c r="A21" s="47" t="s">
        <v>40</v>
      </c>
      <c r="B21" s="48" t="n">
        <v>45</v>
      </c>
      <c r="C21" s="49" t="n">
        <v>500</v>
      </c>
      <c r="D21" s="50" t="s">
        <v>41</v>
      </c>
      <c r="E21" s="50"/>
      <c r="F21" s="50"/>
      <c r="G21" s="51"/>
      <c r="H21" s="52" t="n">
        <v>1050</v>
      </c>
      <c r="I21" s="33"/>
      <c r="J21" s="39"/>
      <c r="K21" s="39"/>
      <c r="L21" s="39"/>
      <c r="M21" s="39"/>
      <c r="N21" s="39"/>
    </row>
    <row r="22" s="37" customFormat="true" ht="17.4" hidden="false" customHeight="true" outlineLevel="0" collapsed="false">
      <c r="A22" s="53" t="s">
        <v>42</v>
      </c>
      <c r="B22" s="7"/>
      <c r="C22" s="4" t="n">
        <v>400</v>
      </c>
      <c r="D22" s="20" t="s">
        <v>43</v>
      </c>
      <c r="E22" s="20"/>
      <c r="F22" s="20"/>
      <c r="G22" s="54"/>
      <c r="H22" s="55" t="n">
        <v>1150</v>
      </c>
      <c r="I22" s="56" t="s">
        <v>44</v>
      </c>
      <c r="J22" s="56"/>
      <c r="K22" s="56"/>
      <c r="L22" s="56"/>
      <c r="M22" s="56"/>
      <c r="N22" s="56"/>
    </row>
    <row r="23" s="37" customFormat="true" ht="14.4" hidden="false" customHeight="true" outlineLevel="0" collapsed="false">
      <c r="A23" s="57" t="s">
        <v>45</v>
      </c>
      <c r="B23" s="58" t="s">
        <v>46</v>
      </c>
      <c r="C23" s="58" t="s">
        <v>47</v>
      </c>
      <c r="D23" s="59" t="s">
        <v>45</v>
      </c>
      <c r="E23" s="59"/>
      <c r="F23" s="59"/>
      <c r="G23" s="60" t="s">
        <v>48</v>
      </c>
      <c r="H23" s="61" t="s">
        <v>47</v>
      </c>
      <c r="I23" s="56"/>
      <c r="J23" s="56"/>
      <c r="K23" s="56"/>
      <c r="L23" s="56"/>
      <c r="M23" s="56"/>
      <c r="N23" s="56"/>
    </row>
    <row r="24" s="37" customFormat="true" ht="14.4" hidden="false" customHeight="true" outlineLevel="0" collapsed="false">
      <c r="A24" s="34" t="s">
        <v>49</v>
      </c>
      <c r="B24" s="14" t="s">
        <v>9</v>
      </c>
      <c r="C24" s="15" t="n">
        <v>300</v>
      </c>
      <c r="D24" s="15" t="s">
        <v>50</v>
      </c>
      <c r="E24" s="15"/>
      <c r="F24" s="15"/>
      <c r="G24" s="14" t="s">
        <v>51</v>
      </c>
      <c r="H24" s="62" t="n">
        <v>580</v>
      </c>
      <c r="I24" s="56"/>
      <c r="J24" s="56"/>
      <c r="K24" s="56"/>
      <c r="L24" s="56"/>
      <c r="M24" s="56"/>
      <c r="N24" s="56"/>
      <c r="Q24" s="63"/>
    </row>
    <row r="25" s="37" customFormat="true" ht="14.4" hidden="false" customHeight="true" outlineLevel="0" collapsed="false">
      <c r="A25" s="34" t="s">
        <v>52</v>
      </c>
      <c r="B25" s="14" t="s">
        <v>9</v>
      </c>
      <c r="C25" s="15" t="n">
        <v>350</v>
      </c>
      <c r="D25" s="15" t="s">
        <v>53</v>
      </c>
      <c r="E25" s="15"/>
      <c r="F25" s="15"/>
      <c r="G25" s="14" t="s">
        <v>9</v>
      </c>
      <c r="H25" s="62" t="n">
        <v>350</v>
      </c>
      <c r="I25" s="33"/>
      <c r="J25" s="39"/>
      <c r="K25" s="39"/>
      <c r="L25" s="39"/>
      <c r="M25" s="39"/>
      <c r="N25" s="39"/>
    </row>
    <row r="26" s="37" customFormat="true" ht="15" hidden="false" customHeight="true" outlineLevel="0" collapsed="false">
      <c r="A26" s="34" t="s">
        <v>54</v>
      </c>
      <c r="B26" s="14" t="s">
        <v>51</v>
      </c>
      <c r="C26" s="15" t="n">
        <v>340</v>
      </c>
      <c r="D26" s="15" t="s">
        <v>55</v>
      </c>
      <c r="E26" s="15"/>
      <c r="F26" s="15"/>
      <c r="G26" s="14" t="s">
        <v>9</v>
      </c>
      <c r="H26" s="62" t="n">
        <v>600</v>
      </c>
      <c r="I26" s="3"/>
      <c r="J26" s="46"/>
      <c r="K26" s="46"/>
      <c r="L26" s="46"/>
      <c r="M26" s="46"/>
      <c r="N26" s="46"/>
    </row>
    <row r="27" customFormat="false" ht="13.2" hidden="false" customHeight="true" outlineLevel="0" collapsed="false">
      <c r="A27" s="64" t="s">
        <v>56</v>
      </c>
      <c r="B27" s="65" t="s">
        <v>51</v>
      </c>
      <c r="C27" s="25" t="n">
        <v>480</v>
      </c>
      <c r="D27" s="66"/>
      <c r="E27" s="66"/>
      <c r="F27" s="66"/>
      <c r="G27" s="67"/>
      <c r="H27" s="68"/>
      <c r="I27" s="33"/>
      <c r="J27" s="39"/>
      <c r="K27" s="39"/>
      <c r="L27" s="39"/>
      <c r="M27" s="39"/>
      <c r="N27" s="39"/>
    </row>
    <row r="28" s="37" customFormat="true" ht="17.4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69" t="s">
        <v>57</v>
      </c>
      <c r="J28" s="69"/>
      <c r="K28" s="69"/>
      <c r="L28" s="69"/>
      <c r="M28" s="69"/>
      <c r="N28" s="69"/>
    </row>
    <row r="29" s="37" customFormat="true" ht="14.4" hidden="false" customHeight="true" outlineLevel="0" collapsed="false">
      <c r="A29" s="29" t="s">
        <v>58</v>
      </c>
      <c r="B29" s="31"/>
      <c r="C29" s="31"/>
      <c r="D29" s="31"/>
      <c r="E29" s="31"/>
      <c r="F29" s="31"/>
      <c r="G29" s="31"/>
      <c r="H29" s="70"/>
      <c r="I29" s="69"/>
      <c r="J29" s="69"/>
      <c r="K29" s="69"/>
      <c r="L29" s="69"/>
      <c r="M29" s="69"/>
      <c r="N29" s="69"/>
    </row>
    <row r="30" s="37" customFormat="true" ht="17.4" hidden="false" customHeight="true" outlineLevel="0" collapsed="false">
      <c r="A30" s="34" t="s">
        <v>59</v>
      </c>
      <c r="B30" s="14" t="s">
        <v>9</v>
      </c>
      <c r="C30" s="15" t="n">
        <v>315</v>
      </c>
      <c r="D30" s="15" t="s">
        <v>60</v>
      </c>
      <c r="E30" s="15"/>
      <c r="F30" s="15"/>
      <c r="G30" s="14" t="s">
        <v>9</v>
      </c>
      <c r="H30" s="62" t="n">
        <v>365</v>
      </c>
      <c r="I30" s="69"/>
      <c r="J30" s="69"/>
      <c r="K30" s="69"/>
      <c r="L30" s="69"/>
      <c r="M30" s="69"/>
      <c r="N30" s="69"/>
    </row>
    <row r="31" s="37" customFormat="true" ht="14.4" hidden="false" customHeight="true" outlineLevel="0" collapsed="false">
      <c r="A31" s="71" t="s">
        <v>61</v>
      </c>
      <c r="B31" s="72"/>
      <c r="C31" s="72"/>
      <c r="D31" s="72"/>
      <c r="E31" s="72"/>
      <c r="F31" s="72"/>
      <c r="G31" s="72"/>
      <c r="H31" s="73"/>
      <c r="I31" s="3"/>
      <c r="J31" s="3"/>
      <c r="K31" s="3"/>
      <c r="L31" s="3"/>
      <c r="M31" s="3"/>
      <c r="N31" s="3"/>
    </row>
    <row r="32" customFormat="false" ht="13.8" hidden="false" customHeight="false" outlineLevel="0" collapsed="false">
      <c r="A32" s="34" t="s">
        <v>62</v>
      </c>
      <c r="B32" s="14" t="s">
        <v>63</v>
      </c>
      <c r="C32" s="15" t="n">
        <v>700</v>
      </c>
      <c r="D32" s="15" t="s">
        <v>64</v>
      </c>
      <c r="E32" s="15"/>
      <c r="F32" s="15"/>
      <c r="G32" s="14" t="s">
        <v>9</v>
      </c>
      <c r="H32" s="62" t="n">
        <v>340</v>
      </c>
      <c r="I32" s="3"/>
      <c r="J32" s="74" t="s">
        <v>65</v>
      </c>
      <c r="K32" s="74"/>
      <c r="L32" s="74"/>
      <c r="M32" s="74"/>
      <c r="N32" s="3"/>
    </row>
    <row r="33" customFormat="false" ht="13.8" hidden="false" customHeight="false" outlineLevel="0" collapsed="false">
      <c r="A33" s="13" t="s">
        <v>62</v>
      </c>
      <c r="B33" s="14" t="s">
        <v>66</v>
      </c>
      <c r="C33" s="15" t="n">
        <v>380</v>
      </c>
      <c r="D33" s="7"/>
      <c r="E33" s="7"/>
      <c r="F33" s="7"/>
      <c r="G33" s="75"/>
      <c r="H33" s="8"/>
      <c r="I33" s="3"/>
      <c r="J33" s="74"/>
      <c r="K33" s="74"/>
      <c r="L33" s="74"/>
      <c r="M33" s="74"/>
      <c r="N33" s="3"/>
    </row>
    <row r="34" customFormat="false" ht="13.8" hidden="false" customHeight="false" outlineLevel="0" collapsed="false">
      <c r="A34" s="76" t="s">
        <v>67</v>
      </c>
      <c r="B34" s="77"/>
      <c r="C34" s="77"/>
      <c r="D34" s="77"/>
      <c r="E34" s="77"/>
      <c r="F34" s="77"/>
      <c r="G34" s="77"/>
      <c r="H34" s="78"/>
      <c r="I34" s="3"/>
      <c r="J34" s="79"/>
      <c r="K34" s="79"/>
      <c r="L34" s="79"/>
      <c r="M34" s="3"/>
      <c r="N34" s="3"/>
    </row>
    <row r="35" customFormat="false" ht="11.4" hidden="false" customHeight="true" outlineLevel="0" collapsed="false">
      <c r="A35" s="80" t="s">
        <v>68</v>
      </c>
      <c r="B35" s="65" t="s">
        <v>51</v>
      </c>
      <c r="C35" s="25" t="n">
        <v>280</v>
      </c>
      <c r="D35" s="81" t="s">
        <v>69</v>
      </c>
      <c r="E35" s="81"/>
      <c r="F35" s="81"/>
      <c r="G35" s="82"/>
      <c r="H35" s="83"/>
      <c r="I35" s="84" t="s">
        <v>70</v>
      </c>
      <c r="J35" s="84"/>
      <c r="K35" s="84"/>
      <c r="L35" s="85" t="s">
        <v>71</v>
      </c>
      <c r="M35" s="86" t="s">
        <v>72</v>
      </c>
      <c r="N35" s="3"/>
    </row>
    <row r="36" customFormat="false" ht="17.4" hidden="false" customHeight="true" outlineLevel="0" collapsed="false">
      <c r="A36" s="87"/>
      <c r="B36" s="88"/>
      <c r="C36" s="89"/>
      <c r="D36" s="90"/>
      <c r="E36" s="90"/>
      <c r="F36" s="90"/>
      <c r="G36" s="91"/>
      <c r="H36" s="89"/>
      <c r="I36" s="84"/>
      <c r="J36" s="84"/>
      <c r="K36" s="84"/>
      <c r="L36" s="14" t="n">
        <v>10</v>
      </c>
      <c r="M36" s="62" t="n">
        <v>38</v>
      </c>
      <c r="N36" s="3"/>
    </row>
    <row r="37" customFormat="false" ht="13.8" hidden="false" customHeight="false" outlineLevel="0" collapsed="false">
      <c r="A37" s="92" t="s">
        <v>73</v>
      </c>
      <c r="B37" s="93"/>
      <c r="C37" s="93"/>
      <c r="D37" s="93"/>
      <c r="E37" s="93"/>
      <c r="F37" s="94"/>
      <c r="G37" s="95"/>
      <c r="H37" s="95"/>
      <c r="I37" s="84"/>
      <c r="J37" s="84"/>
      <c r="K37" s="84"/>
      <c r="L37" s="14" t="n">
        <v>12</v>
      </c>
      <c r="M37" s="62" t="n">
        <v>42</v>
      </c>
      <c r="N37" s="3"/>
    </row>
    <row r="38" customFormat="false" ht="13.8" hidden="false" customHeight="false" outlineLevel="0" collapsed="false">
      <c r="A38" s="13" t="s">
        <v>74</v>
      </c>
      <c r="B38" s="96" t="s">
        <v>75</v>
      </c>
      <c r="C38" s="96"/>
      <c r="D38" s="4"/>
      <c r="E38" s="7" t="s">
        <v>76</v>
      </c>
      <c r="F38" s="97" t="n">
        <v>430</v>
      </c>
      <c r="G38" s="91"/>
      <c r="H38" s="91"/>
      <c r="I38" s="84"/>
      <c r="J38" s="84"/>
      <c r="K38" s="84"/>
      <c r="L38" s="14" t="n">
        <v>20</v>
      </c>
      <c r="M38" s="62" t="n">
        <v>66</v>
      </c>
      <c r="N38" s="3"/>
    </row>
    <row r="39" customFormat="false" ht="13.8" hidden="false" customHeight="false" outlineLevel="0" collapsed="false">
      <c r="A39" s="13" t="s">
        <v>77</v>
      </c>
      <c r="B39" s="96" t="s">
        <v>78</v>
      </c>
      <c r="C39" s="96"/>
      <c r="D39" s="4"/>
      <c r="E39" s="7" t="s">
        <v>76</v>
      </c>
      <c r="F39" s="97" t="n">
        <v>410</v>
      </c>
      <c r="G39" s="91"/>
      <c r="H39" s="91"/>
      <c r="I39" s="98" t="s">
        <v>79</v>
      </c>
      <c r="J39" s="98"/>
      <c r="K39" s="98"/>
      <c r="L39" s="65"/>
      <c r="M39" s="83" t="n">
        <v>79</v>
      </c>
      <c r="N39" s="3"/>
    </row>
    <row r="40" customFormat="false" ht="15" hidden="false" customHeight="true" outlineLevel="0" collapsed="false">
      <c r="A40" s="13" t="s">
        <v>80</v>
      </c>
      <c r="B40" s="96" t="s">
        <v>78</v>
      </c>
      <c r="C40" s="96"/>
      <c r="D40" s="4"/>
      <c r="E40" s="7" t="s">
        <v>76</v>
      </c>
      <c r="F40" s="97" t="n">
        <v>310</v>
      </c>
      <c r="G40" s="91"/>
      <c r="H40" s="91"/>
      <c r="I40" s="3"/>
      <c r="J40" s="79"/>
      <c r="K40" s="79"/>
      <c r="L40" s="79"/>
      <c r="M40" s="3"/>
      <c r="N40" s="3"/>
    </row>
    <row r="41" customFormat="false" ht="13.8" hidden="false" customHeight="true" outlineLevel="0" collapsed="false">
      <c r="A41" s="80" t="s">
        <v>81</v>
      </c>
      <c r="B41" s="99" t="s">
        <v>75</v>
      </c>
      <c r="C41" s="99"/>
      <c r="D41" s="100"/>
      <c r="E41" s="82" t="s">
        <v>76</v>
      </c>
      <c r="F41" s="101" t="n">
        <v>330</v>
      </c>
      <c r="G41" s="91"/>
      <c r="H41" s="91"/>
      <c r="I41" s="102" t="s">
        <v>82</v>
      </c>
      <c r="J41" s="102"/>
      <c r="K41" s="102"/>
      <c r="L41" s="85" t="s">
        <v>83</v>
      </c>
      <c r="M41" s="103" t="s">
        <v>84</v>
      </c>
      <c r="N41" s="3"/>
    </row>
    <row r="42" customFormat="false" ht="13.8" hidden="false" customHeight="false" outlineLevel="0" collapsed="false">
      <c r="A42" s="3"/>
      <c r="B42" s="3"/>
      <c r="C42" s="3"/>
      <c r="D42" s="3"/>
      <c r="E42" s="3"/>
      <c r="F42" s="3"/>
      <c r="G42" s="91"/>
      <c r="H42" s="91"/>
      <c r="I42" s="102"/>
      <c r="J42" s="102"/>
      <c r="K42" s="102"/>
      <c r="L42" s="25" t="n">
        <v>15</v>
      </c>
      <c r="M42" s="83" t="n">
        <v>6300</v>
      </c>
      <c r="N42" s="3"/>
    </row>
    <row r="43" customFormat="false" ht="17.35" hidden="false" customHeight="false" outlineLevel="0" collapsed="false">
      <c r="A43" s="104" t="s">
        <v>85</v>
      </c>
      <c r="B43" s="105"/>
      <c r="C43" s="105"/>
      <c r="D43" s="105"/>
      <c r="E43" s="30" t="s">
        <v>83</v>
      </c>
      <c r="F43" s="30" t="s">
        <v>86</v>
      </c>
      <c r="G43" s="32" t="s">
        <v>84</v>
      </c>
      <c r="H43" s="3"/>
      <c r="I43" s="106" t="s">
        <v>87</v>
      </c>
      <c r="J43" s="106"/>
      <c r="K43" s="106"/>
      <c r="L43" s="106"/>
      <c r="M43" s="106"/>
      <c r="N43" s="3"/>
    </row>
    <row r="44" customFormat="false" ht="13.8" hidden="false" customHeight="false" outlineLevel="0" collapsed="false">
      <c r="A44" s="13" t="s">
        <v>88</v>
      </c>
      <c r="B44" s="4" t="s">
        <v>89</v>
      </c>
      <c r="C44" s="4"/>
      <c r="D44" s="4"/>
      <c r="E44" s="107" t="n">
        <v>49.2</v>
      </c>
      <c r="F44" s="15" t="n">
        <v>4100</v>
      </c>
      <c r="G44" s="62" t="n">
        <v>7380</v>
      </c>
      <c r="H44" s="3"/>
      <c r="I44" s="108"/>
      <c r="J44" s="108"/>
      <c r="K44" s="108"/>
      <c r="L44" s="108"/>
      <c r="M44" s="108"/>
      <c r="N44" s="3"/>
    </row>
    <row r="45" customFormat="false" ht="13.8" hidden="false" customHeight="false" outlineLevel="0" collapsed="false">
      <c r="A45" s="13" t="s">
        <v>81</v>
      </c>
      <c r="B45" s="4" t="s">
        <v>90</v>
      </c>
      <c r="C45" s="4"/>
      <c r="D45" s="4"/>
      <c r="E45" s="107" t="n">
        <v>147.6</v>
      </c>
      <c r="F45" s="15"/>
      <c r="G45" s="62"/>
      <c r="H45" s="3"/>
      <c r="I45" s="108"/>
      <c r="J45" s="108"/>
      <c r="K45" s="108"/>
      <c r="L45" s="108"/>
      <c r="M45" s="108"/>
      <c r="N45" s="3"/>
    </row>
    <row r="46" customFormat="false" ht="13.8" hidden="false" customHeight="false" outlineLevel="0" collapsed="false">
      <c r="A46" s="109" t="s">
        <v>91</v>
      </c>
      <c r="B46" s="110"/>
      <c r="C46" s="110"/>
      <c r="D46" s="110"/>
      <c r="E46" s="110"/>
      <c r="F46" s="110"/>
      <c r="G46" s="111"/>
      <c r="H46" s="3"/>
      <c r="I46" s="108"/>
      <c r="J46" s="108"/>
      <c r="K46" s="108"/>
      <c r="L46" s="108"/>
      <c r="M46" s="108"/>
      <c r="N46" s="3"/>
    </row>
    <row r="47" customFormat="false" ht="13.8" hidden="false" customHeight="false" outlineLevel="0" collapsed="false">
      <c r="A47" s="76" t="s">
        <v>92</v>
      </c>
      <c r="B47" s="77"/>
      <c r="C47" s="77"/>
      <c r="D47" s="77"/>
      <c r="E47" s="7" t="s">
        <v>83</v>
      </c>
      <c r="F47" s="7" t="s">
        <v>86</v>
      </c>
      <c r="G47" s="8" t="s">
        <v>84</v>
      </c>
      <c r="H47" s="3"/>
      <c r="I47" s="108"/>
      <c r="J47" s="108"/>
      <c r="K47" s="108"/>
      <c r="L47" s="108"/>
      <c r="M47" s="108"/>
      <c r="N47" s="3"/>
    </row>
    <row r="48" customFormat="false" ht="13.8" hidden="false" customHeight="false" outlineLevel="0" collapsed="false">
      <c r="A48" s="13" t="s">
        <v>88</v>
      </c>
      <c r="B48" s="4" t="s">
        <v>93</v>
      </c>
      <c r="C48" s="4"/>
      <c r="D48" s="4"/>
      <c r="E48" s="53" t="n">
        <v>67.2</v>
      </c>
      <c r="F48" s="25" t="n">
        <v>4300</v>
      </c>
      <c r="G48" s="83"/>
      <c r="H48" s="3"/>
      <c r="I48" s="3"/>
      <c r="J48" s="79"/>
      <c r="K48" s="79"/>
      <c r="L48" s="79"/>
      <c r="M48" s="3"/>
      <c r="N48" s="3"/>
    </row>
    <row r="49" customFormat="false" ht="13.8" hidden="false" customHeight="false" outlineLevel="0" collapsed="false">
      <c r="A49" s="80" t="s">
        <v>81</v>
      </c>
      <c r="B49" s="100" t="s">
        <v>94</v>
      </c>
      <c r="C49" s="100"/>
      <c r="D49" s="100"/>
      <c r="E49" s="112" t="n">
        <v>161.3</v>
      </c>
      <c r="F49" s="25"/>
      <c r="G49" s="83"/>
      <c r="H49" s="3"/>
      <c r="I49" s="3"/>
      <c r="J49" s="79"/>
      <c r="K49" s="79"/>
      <c r="L49" s="79"/>
      <c r="M49" s="3"/>
      <c r="N49" s="3"/>
    </row>
    <row r="50" customFormat="false" ht="4.8" hidden="false" customHeight="true" outlineLevel="0" collapsed="false">
      <c r="A50" s="87"/>
      <c r="B50" s="108"/>
      <c r="C50" s="108"/>
      <c r="D50" s="108"/>
      <c r="E50" s="87"/>
      <c r="F50" s="89"/>
      <c r="G50" s="89"/>
      <c r="H50" s="3"/>
      <c r="I50" s="3"/>
      <c r="J50" s="79"/>
      <c r="K50" s="79"/>
      <c r="L50" s="79"/>
      <c r="M50" s="3"/>
      <c r="N50" s="3"/>
    </row>
    <row r="51" customFormat="false" ht="13.8" hidden="false" customHeight="false" outlineLevel="0" collapsed="false">
      <c r="A51" s="3"/>
      <c r="B51" s="3"/>
      <c r="C51" s="3"/>
      <c r="D51" s="3"/>
      <c r="E51" s="3"/>
      <c r="F51" s="90"/>
      <c r="G51" s="91"/>
      <c r="H51" s="3"/>
      <c r="I51" s="3"/>
      <c r="J51" s="79"/>
      <c r="K51" s="79"/>
      <c r="L51" s="79"/>
      <c r="M51" s="3"/>
      <c r="N51" s="3"/>
    </row>
    <row r="52" customFormat="false" ht="13.8" hidden="false" customHeight="false" outlineLevel="0" collapsed="false">
      <c r="A52" s="113" t="s">
        <v>95</v>
      </c>
      <c r="B52" s="114"/>
      <c r="C52" s="114"/>
      <c r="D52" s="114"/>
      <c r="E52" s="114"/>
      <c r="F52" s="114"/>
      <c r="G52" s="114"/>
      <c r="H52" s="114"/>
      <c r="I52" s="115"/>
      <c r="J52" s="116" t="s">
        <v>96</v>
      </c>
      <c r="K52" s="116"/>
      <c r="L52" s="116"/>
      <c r="M52" s="3"/>
      <c r="N52" s="3"/>
    </row>
    <row r="53" customFormat="false" ht="22.75" hidden="false" customHeight="true" outlineLevel="0" collapsed="false">
      <c r="A53" s="117" t="s">
        <v>97</v>
      </c>
      <c r="B53" s="118" t="s">
        <v>98</v>
      </c>
      <c r="C53" s="118" t="s">
        <v>99</v>
      </c>
      <c r="D53" s="119" t="s">
        <v>100</v>
      </c>
      <c r="E53" s="117" t="s">
        <v>97</v>
      </c>
      <c r="F53" s="117"/>
      <c r="G53" s="118" t="s">
        <v>98</v>
      </c>
      <c r="H53" s="118" t="s">
        <v>99</v>
      </c>
      <c r="I53" s="119" t="s">
        <v>100</v>
      </c>
      <c r="J53" s="120" t="s">
        <v>101</v>
      </c>
      <c r="K53" s="120"/>
      <c r="L53" s="120"/>
      <c r="M53" s="3"/>
      <c r="N53" s="3"/>
    </row>
    <row r="54" customFormat="false" ht="13.8" hidden="false" customHeight="false" outlineLevel="0" collapsed="false">
      <c r="A54" s="121" t="s">
        <v>102</v>
      </c>
      <c r="B54" s="122" t="n">
        <f aca="false">1/(0.025*0.05*4)</f>
        <v>200</v>
      </c>
      <c r="C54" s="123" t="n">
        <f aca="false">$D$54/B54</f>
        <v>80</v>
      </c>
      <c r="D54" s="62" t="n">
        <v>16000</v>
      </c>
      <c r="E54" s="124" t="s">
        <v>103</v>
      </c>
      <c r="F54" s="7"/>
      <c r="G54" s="122" t="n">
        <f aca="false">1/(0.05*0.2*4)</f>
        <v>25</v>
      </c>
      <c r="H54" s="123" t="n">
        <f aca="false">$I$54/G54</f>
        <v>600</v>
      </c>
      <c r="I54" s="83" t="n">
        <v>15000</v>
      </c>
      <c r="J54" s="125" t="s">
        <v>104</v>
      </c>
      <c r="K54" s="5" t="n">
        <v>2600</v>
      </c>
      <c r="L54" s="5"/>
      <c r="M54" s="3"/>
      <c r="N54" s="3"/>
    </row>
    <row r="55" customFormat="false" ht="13.8" hidden="false" customHeight="false" outlineLevel="0" collapsed="false">
      <c r="A55" s="121" t="s">
        <v>105</v>
      </c>
      <c r="B55" s="122" t="n">
        <f aca="false">1/(0.025*0.05*6)</f>
        <v>133.333333333333</v>
      </c>
      <c r="C55" s="123" t="n">
        <f aca="false">$D$54/B55</f>
        <v>120</v>
      </c>
      <c r="D55" s="62"/>
      <c r="E55" s="124" t="s">
        <v>106</v>
      </c>
      <c r="F55" s="7"/>
      <c r="G55" s="122" t="n">
        <f aca="false">1/(0.05*0.1*6)</f>
        <v>33.3333333333333</v>
      </c>
      <c r="H55" s="123" t="n">
        <f aca="false">$I$54/G55</f>
        <v>450</v>
      </c>
      <c r="I55" s="83"/>
      <c r="J55" s="125" t="s">
        <v>107</v>
      </c>
      <c r="K55" s="5" t="n">
        <v>2900</v>
      </c>
      <c r="L55" s="5"/>
      <c r="M55" s="3"/>
      <c r="N55" s="3"/>
    </row>
    <row r="56" customFormat="false" ht="13.8" hidden="false" customHeight="false" outlineLevel="0" collapsed="false">
      <c r="A56" s="121" t="s">
        <v>108</v>
      </c>
      <c r="B56" s="122" t="n">
        <f aca="false">1/(0.05*0.05*4)</f>
        <v>100</v>
      </c>
      <c r="C56" s="123" t="n">
        <f aca="false">$D$54/B56</f>
        <v>160</v>
      </c>
      <c r="D56" s="62"/>
      <c r="E56" s="124" t="s">
        <v>109</v>
      </c>
      <c r="F56" s="7"/>
      <c r="G56" s="122" t="n">
        <f aca="false">1/(0.05*0.12*6)</f>
        <v>27.7777777777778</v>
      </c>
      <c r="H56" s="123" t="n">
        <f aca="false">$I$54/G56</f>
        <v>540</v>
      </c>
      <c r="I56" s="83"/>
      <c r="J56" s="125" t="s">
        <v>110</v>
      </c>
      <c r="K56" s="5" t="n">
        <v>3100</v>
      </c>
      <c r="L56" s="5"/>
      <c r="M56" s="3"/>
      <c r="N56" s="3"/>
    </row>
    <row r="57" customFormat="false" ht="13.8" hidden="false" customHeight="false" outlineLevel="0" collapsed="false">
      <c r="A57" s="121" t="s">
        <v>111</v>
      </c>
      <c r="B57" s="122" t="n">
        <f aca="false">1/(0.05*0.05*6)</f>
        <v>66.6666666666667</v>
      </c>
      <c r="C57" s="123" t="n">
        <f aca="false">$D$54/B57</f>
        <v>240</v>
      </c>
      <c r="D57" s="62"/>
      <c r="E57" s="124" t="s">
        <v>112</v>
      </c>
      <c r="F57" s="7"/>
      <c r="G57" s="122" t="n">
        <f aca="false">1/(0.05*0.15*6)</f>
        <v>22.2222222222222</v>
      </c>
      <c r="H57" s="123" t="n">
        <f aca="false">$I$54/G57</f>
        <v>675</v>
      </c>
      <c r="I57" s="83"/>
      <c r="J57" s="125" t="s">
        <v>113</v>
      </c>
      <c r="K57" s="5" t="n">
        <v>3300</v>
      </c>
      <c r="L57" s="5"/>
      <c r="M57" s="3"/>
      <c r="N57" s="3"/>
    </row>
    <row r="58" customFormat="false" ht="13.8" hidden="false" customHeight="false" outlineLevel="0" collapsed="false">
      <c r="A58" s="121" t="s">
        <v>114</v>
      </c>
      <c r="B58" s="122" t="n">
        <f aca="false">1/(0.025*0.1*4)</f>
        <v>100</v>
      </c>
      <c r="C58" s="123" t="n">
        <f aca="false">$D$58/B58</f>
        <v>150</v>
      </c>
      <c r="D58" s="83" t="n">
        <v>15000</v>
      </c>
      <c r="E58" s="124" t="s">
        <v>115</v>
      </c>
      <c r="F58" s="7"/>
      <c r="G58" s="122" t="n">
        <f aca="false">1/(0.05*0.2*6)</f>
        <v>16.6666666666667</v>
      </c>
      <c r="H58" s="123" t="n">
        <f aca="false">$I$54/G58</f>
        <v>900</v>
      </c>
      <c r="I58" s="83"/>
      <c r="J58" s="125" t="s">
        <v>116</v>
      </c>
      <c r="K58" s="5" t="n">
        <v>3700</v>
      </c>
      <c r="L58" s="5"/>
      <c r="M58" s="3"/>
      <c r="N58" s="3"/>
    </row>
    <row r="59" customFormat="false" ht="13.8" hidden="false" customHeight="false" outlineLevel="0" collapsed="false">
      <c r="A59" s="121" t="s">
        <v>117</v>
      </c>
      <c r="B59" s="122" t="n">
        <f aca="false">1/(0.025*0.1*6)</f>
        <v>66.6666666666667</v>
      </c>
      <c r="C59" s="123" t="n">
        <f aca="false">$D$58/B59</f>
        <v>225</v>
      </c>
      <c r="D59" s="83"/>
      <c r="E59" s="124" t="s">
        <v>118</v>
      </c>
      <c r="F59" s="7"/>
      <c r="G59" s="122" t="n">
        <f aca="false">1/(0.1*0.1*6)</f>
        <v>16.6666666666667</v>
      </c>
      <c r="H59" s="123" t="n">
        <f aca="false">$I$54/G59</f>
        <v>900</v>
      </c>
      <c r="I59" s="83"/>
      <c r="J59" s="125" t="s">
        <v>119</v>
      </c>
      <c r="K59" s="5" t="n">
        <v>4000</v>
      </c>
      <c r="L59" s="5"/>
      <c r="M59" s="3"/>
      <c r="N59" s="3"/>
    </row>
    <row r="60" customFormat="false" ht="13.8" hidden="false" customHeight="false" outlineLevel="0" collapsed="false">
      <c r="A60" s="121" t="s">
        <v>120</v>
      </c>
      <c r="B60" s="122" t="n">
        <f aca="false">1/(0.025*0.12*6)</f>
        <v>55.5555555555556</v>
      </c>
      <c r="C60" s="123" t="n">
        <f aca="false">$D$58/B60</f>
        <v>270</v>
      </c>
      <c r="D60" s="83"/>
      <c r="E60" s="124" t="s">
        <v>121</v>
      </c>
      <c r="F60" s="7"/>
      <c r="G60" s="122" t="n">
        <f aca="false">1/(0.1*0.15*6)</f>
        <v>11.1111111111111</v>
      </c>
      <c r="H60" s="123" t="n">
        <f aca="false">$I$54/G60</f>
        <v>1350</v>
      </c>
      <c r="I60" s="83"/>
      <c r="J60" s="126" t="s">
        <v>122</v>
      </c>
      <c r="K60" s="126"/>
      <c r="L60" s="126"/>
      <c r="M60" s="3"/>
      <c r="N60" s="3"/>
    </row>
    <row r="61" customFormat="false" ht="13.8" hidden="false" customHeight="false" outlineLevel="0" collapsed="false">
      <c r="A61" s="121" t="s">
        <v>123</v>
      </c>
      <c r="B61" s="122" t="n">
        <f aca="false">1/(0.025*0.15*6)</f>
        <v>44.4444444444444</v>
      </c>
      <c r="C61" s="123" t="n">
        <f aca="false">$D$58/B61</f>
        <v>337.5</v>
      </c>
      <c r="D61" s="83"/>
      <c r="E61" s="124" t="s">
        <v>124</v>
      </c>
      <c r="F61" s="7"/>
      <c r="G61" s="122" t="n">
        <f aca="false">1/(0.15*0.15*6)</f>
        <v>7.40740740740741</v>
      </c>
      <c r="H61" s="123" t="n">
        <f aca="false">$I$54/G61</f>
        <v>2025</v>
      </c>
      <c r="I61" s="83"/>
      <c r="J61" s="125" t="s">
        <v>104</v>
      </c>
      <c r="K61" s="5" t="n">
        <v>3600</v>
      </c>
      <c r="L61" s="5"/>
      <c r="M61" s="3"/>
      <c r="N61" s="3"/>
    </row>
    <row r="62" customFormat="false" ht="13.8" hidden="false" customHeight="false" outlineLevel="0" collapsed="false">
      <c r="A62" s="121" t="s">
        <v>125</v>
      </c>
      <c r="B62" s="122" t="n">
        <f aca="false">1/(0.025*0.2*6)</f>
        <v>33.3333333333333</v>
      </c>
      <c r="C62" s="123" t="n">
        <f aca="false">$D$58/B62</f>
        <v>450</v>
      </c>
      <c r="D62" s="83"/>
      <c r="E62" s="124" t="s">
        <v>126</v>
      </c>
      <c r="F62" s="7"/>
      <c r="G62" s="122" t="n">
        <f aca="false">1/(0.1*0.2*6)</f>
        <v>8.33333333333333</v>
      </c>
      <c r="H62" s="123" t="n">
        <f aca="false">$I$54/G62</f>
        <v>1800</v>
      </c>
      <c r="I62" s="83"/>
      <c r="J62" s="125" t="s">
        <v>107</v>
      </c>
      <c r="K62" s="5" t="n">
        <v>4000</v>
      </c>
      <c r="L62" s="5"/>
      <c r="M62" s="3"/>
      <c r="N62" s="3"/>
    </row>
    <row r="63" customFormat="false" ht="13.8" hidden="false" customHeight="false" outlineLevel="0" collapsed="false">
      <c r="A63" s="121" t="s">
        <v>127</v>
      </c>
      <c r="B63" s="122" t="n">
        <f aca="false">1/(0.5*0.01*4)</f>
        <v>50</v>
      </c>
      <c r="C63" s="123" t="n">
        <f aca="false">$D$58/B63</f>
        <v>300</v>
      </c>
      <c r="D63" s="83"/>
      <c r="E63" s="124" t="s">
        <v>128</v>
      </c>
      <c r="F63" s="7"/>
      <c r="G63" s="122" t="n">
        <f aca="false">1/(0.15*0.2*6)</f>
        <v>5.55555555555556</v>
      </c>
      <c r="H63" s="123" t="n">
        <f aca="false">$I$54/G63</f>
        <v>2700</v>
      </c>
      <c r="I63" s="83"/>
      <c r="J63" s="125" t="s">
        <v>110</v>
      </c>
      <c r="K63" s="5" t="n">
        <v>4500</v>
      </c>
      <c r="L63" s="5"/>
      <c r="M63" s="3"/>
      <c r="N63" s="3"/>
    </row>
    <row r="64" customFormat="false" ht="13.8" hidden="false" customHeight="true" outlineLevel="0" collapsed="false">
      <c r="A64" s="121" t="s">
        <v>129</v>
      </c>
      <c r="B64" s="122" t="n">
        <f aca="false">1/(0.05*0.12*4)</f>
        <v>41.6666666666667</v>
      </c>
      <c r="C64" s="123" t="n">
        <f aca="false">$D$58/B64</f>
        <v>360</v>
      </c>
      <c r="D64" s="83"/>
      <c r="E64" s="127" t="s">
        <v>130</v>
      </c>
      <c r="F64" s="82"/>
      <c r="G64" s="128" t="n">
        <f aca="false">1/(0.2*0.2*6)</f>
        <v>4.16666666666667</v>
      </c>
      <c r="H64" s="123" t="n">
        <f aca="false">$I$54/G64</f>
        <v>3600</v>
      </c>
      <c r="I64" s="83"/>
      <c r="J64" s="129" t="s">
        <v>131</v>
      </c>
      <c r="K64" s="129"/>
      <c r="L64" s="129"/>
      <c r="M64" s="3"/>
      <c r="N64" s="3"/>
    </row>
    <row r="65" customFormat="false" ht="13.8" hidden="false" customHeight="false" outlineLevel="0" collapsed="false">
      <c r="A65" s="130" t="s">
        <v>132</v>
      </c>
      <c r="B65" s="128" t="n">
        <f aca="false">1/(0.5*0.015*4)</f>
        <v>33.3333333333333</v>
      </c>
      <c r="C65" s="123" t="n">
        <f aca="false">$D$58/B65</f>
        <v>450</v>
      </c>
      <c r="D65" s="83"/>
      <c r="J65" s="129"/>
      <c r="K65" s="129"/>
      <c r="L65" s="129"/>
      <c r="M65" s="3"/>
      <c r="N65" s="3"/>
    </row>
    <row r="66" customFormat="false" ht="13.8" hidden="false" customHeight="false" outlineLevel="0" collapsed="false">
      <c r="J66" s="129"/>
      <c r="K66" s="129"/>
      <c r="L66" s="129"/>
      <c r="M66" s="3"/>
      <c r="N66" s="3"/>
    </row>
    <row r="67" customFormat="false" ht="13.8" hidden="false" customHeight="false" outlineLevel="0" collapsed="false">
      <c r="J67" s="129"/>
      <c r="K67" s="129"/>
      <c r="L67" s="129"/>
      <c r="M67" s="3"/>
      <c r="N67" s="3"/>
    </row>
    <row r="68" customFormat="false" ht="6.6" hidden="false" customHeight="true" outlineLevel="0" collapsed="false">
      <c r="J68" s="3"/>
      <c r="K68" s="3"/>
      <c r="L68" s="3"/>
      <c r="M68" s="3"/>
      <c r="N68" s="3"/>
    </row>
  </sheetData>
  <mergeCells count="58">
    <mergeCell ref="A1:B2"/>
    <mergeCell ref="C1:H1"/>
    <mergeCell ref="C2:D2"/>
    <mergeCell ref="E2:F2"/>
    <mergeCell ref="G2:H2"/>
    <mergeCell ref="A10:H10"/>
    <mergeCell ref="B11:C11"/>
    <mergeCell ref="D13:F13"/>
    <mergeCell ref="D14:F14"/>
    <mergeCell ref="D15:E15"/>
    <mergeCell ref="D16:E16"/>
    <mergeCell ref="D17:E17"/>
    <mergeCell ref="D18:E18"/>
    <mergeCell ref="D19:E19"/>
    <mergeCell ref="D20:E20"/>
    <mergeCell ref="D21:F21"/>
    <mergeCell ref="D22:F22"/>
    <mergeCell ref="I22:N24"/>
    <mergeCell ref="D23:F23"/>
    <mergeCell ref="D24:F24"/>
    <mergeCell ref="D25:F25"/>
    <mergeCell ref="D26:F26"/>
    <mergeCell ref="D27:F27"/>
    <mergeCell ref="I28:N30"/>
    <mergeCell ref="D30:F30"/>
    <mergeCell ref="D32:F32"/>
    <mergeCell ref="J32:M33"/>
    <mergeCell ref="D35:F35"/>
    <mergeCell ref="I35:K38"/>
    <mergeCell ref="I39:K39"/>
    <mergeCell ref="I41:K42"/>
    <mergeCell ref="I43:M43"/>
    <mergeCell ref="B44:D44"/>
    <mergeCell ref="F44:F45"/>
    <mergeCell ref="G44:G45"/>
    <mergeCell ref="I44:M47"/>
    <mergeCell ref="B45:D45"/>
    <mergeCell ref="B48:D48"/>
    <mergeCell ref="F48:F49"/>
    <mergeCell ref="G48:G49"/>
    <mergeCell ref="B49:D49"/>
    <mergeCell ref="J52:L52"/>
    <mergeCell ref="E53:F53"/>
    <mergeCell ref="J53:L53"/>
    <mergeCell ref="D54:D57"/>
    <mergeCell ref="I54:I64"/>
    <mergeCell ref="K54:L54"/>
    <mergeCell ref="K55:L55"/>
    <mergeCell ref="K56:L56"/>
    <mergeCell ref="K57:L57"/>
    <mergeCell ref="D58:D65"/>
    <mergeCell ref="K58:L58"/>
    <mergeCell ref="K59:L59"/>
    <mergeCell ref="J60:L60"/>
    <mergeCell ref="K61:L61"/>
    <mergeCell ref="K62:L62"/>
    <mergeCell ref="K63:L63"/>
    <mergeCell ref="J64:L67"/>
  </mergeCells>
  <hyperlinks>
    <hyperlink ref="J32" r:id="rId1" display="www.cemdvor.com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6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1" activeCellId="0" sqref="C1"/>
    </sheetView>
  </sheetViews>
  <sheetFormatPr defaultColWidth="8.5625" defaultRowHeight="13.8" zeroHeight="false" outlineLevelRow="0" outlineLevelCol="0"/>
  <cols>
    <col collapsed="false" customWidth="true" hidden="false" outlineLevel="0" max="1" min="1" style="0" width="11.22"/>
    <col collapsed="false" customWidth="true" hidden="false" outlineLevel="0" max="2" min="2" style="0" width="14.11"/>
    <col collapsed="false" customWidth="true" hidden="false" outlineLevel="0" max="3" min="3" style="0" width="5.1"/>
    <col collapsed="false" customWidth="true" hidden="false" outlineLevel="0" max="4" min="4" style="0" width="8.33"/>
    <col collapsed="false" customWidth="true" hidden="false" outlineLevel="0" max="5" min="5" style="0" width="9"/>
    <col collapsed="false" customWidth="true" hidden="false" outlineLevel="0" max="6" min="6" style="0" width="1.89"/>
    <col collapsed="false" customWidth="true" hidden="false" outlineLevel="0" max="7" min="7" style="0" width="10.33"/>
    <col collapsed="false" customWidth="true" hidden="false" outlineLevel="0" max="8" min="8" style="0" width="11.57"/>
    <col collapsed="false" customWidth="true" hidden="false" outlineLevel="0" max="9" min="9" style="0" width="5.43"/>
    <col collapsed="false" customWidth="true" hidden="false" outlineLevel="0" max="11" min="11" style="0" width="9.6"/>
    <col collapsed="false" customWidth="true" hidden="false" outlineLevel="0" max="12" min="12" style="131" width="5.55"/>
    <col collapsed="false" customWidth="true" hidden="false" outlineLevel="0" max="13" min="13" style="0" width="5.89"/>
    <col collapsed="false" customWidth="true" hidden="false" outlineLevel="0" max="14" min="14" style="0" width="14.11"/>
    <col collapsed="false" customWidth="true" hidden="false" outlineLevel="0" max="15" min="15" style="0" width="4.78"/>
  </cols>
  <sheetData>
    <row r="1" customFormat="false" ht="31.8" hidden="false" customHeight="true" outlineLevel="0" collapsed="false">
      <c r="A1" s="132" t="s">
        <v>133</v>
      </c>
      <c r="B1" s="132"/>
      <c r="C1" s="133" t="s">
        <v>134</v>
      </c>
      <c r="D1" s="134" t="s">
        <v>135</v>
      </c>
      <c r="E1" s="133" t="s">
        <v>136</v>
      </c>
      <c r="F1" s="135"/>
      <c r="G1" s="136" t="s">
        <v>133</v>
      </c>
      <c r="H1" s="136"/>
      <c r="I1" s="133" t="s">
        <v>134</v>
      </c>
      <c r="J1" s="134" t="s">
        <v>135</v>
      </c>
      <c r="K1" s="137" t="s">
        <v>136</v>
      </c>
      <c r="L1" s="138" t="s">
        <v>137</v>
      </c>
      <c r="M1" s="139" t="s">
        <v>138</v>
      </c>
      <c r="N1" s="3"/>
      <c r="O1" s="3"/>
    </row>
    <row r="2" customFormat="false" ht="13.8" hidden="false" customHeight="false" outlineLevel="0" collapsed="false">
      <c r="A2" s="140" t="s">
        <v>139</v>
      </c>
      <c r="B2" s="140"/>
      <c r="C2" s="140"/>
      <c r="D2" s="140"/>
      <c r="E2" s="140"/>
      <c r="F2" s="91"/>
      <c r="G2" s="141" t="s">
        <v>140</v>
      </c>
      <c r="H2" s="141"/>
      <c r="I2" s="141"/>
      <c r="J2" s="141"/>
      <c r="K2" s="141"/>
      <c r="L2" s="138"/>
      <c r="M2" s="139"/>
      <c r="N2" s="3"/>
      <c r="O2" s="3"/>
    </row>
    <row r="3" customFormat="false" ht="14.4" hidden="false" customHeight="true" outlineLevel="0" collapsed="false">
      <c r="A3" s="142" t="s">
        <v>141</v>
      </c>
      <c r="B3" s="14" t="n">
        <v>8</v>
      </c>
      <c r="C3" s="7"/>
      <c r="D3" s="7" t="n">
        <v>65500</v>
      </c>
      <c r="E3" s="143" t="n">
        <f aca="false">(0.43*D3)/1000</f>
        <v>28.165</v>
      </c>
      <c r="F3" s="91"/>
      <c r="G3" s="144" t="s">
        <v>142</v>
      </c>
      <c r="H3" s="14" t="s">
        <v>143</v>
      </c>
      <c r="I3" s="7"/>
      <c r="J3" s="7" t="n">
        <v>71500</v>
      </c>
      <c r="K3" s="145" t="n">
        <f aca="false">(1.1*J3)/1000</f>
        <v>78.65</v>
      </c>
      <c r="L3" s="146" t="n">
        <v>6</v>
      </c>
      <c r="M3" s="139"/>
      <c r="N3" s="3"/>
      <c r="O3" s="3"/>
    </row>
    <row r="4" customFormat="false" ht="13.8" hidden="false" customHeight="false" outlineLevel="0" collapsed="false">
      <c r="A4" s="142"/>
      <c r="B4" s="14" t="n">
        <v>10</v>
      </c>
      <c r="C4" s="7"/>
      <c r="D4" s="7" t="n">
        <v>54600</v>
      </c>
      <c r="E4" s="143" t="n">
        <f aca="false">(0.64*D4)/1000</f>
        <v>34.944</v>
      </c>
      <c r="F4" s="91"/>
      <c r="G4" s="144"/>
      <c r="H4" s="14" t="s">
        <v>144</v>
      </c>
      <c r="I4" s="7"/>
      <c r="J4" s="147" t="n">
        <v>71500</v>
      </c>
      <c r="K4" s="145" t="n">
        <f aca="false">(1.4*J4)/1000</f>
        <v>100.1</v>
      </c>
      <c r="L4" s="146" t="n">
        <v>6</v>
      </c>
      <c r="M4" s="139"/>
      <c r="N4" s="3"/>
      <c r="O4" s="3"/>
    </row>
    <row r="5" customFormat="false" ht="13.8" hidden="false" customHeight="false" outlineLevel="0" collapsed="false">
      <c r="A5" s="142"/>
      <c r="B5" s="14" t="n">
        <v>12</v>
      </c>
      <c r="C5" s="7"/>
      <c r="D5" s="7" t="n">
        <v>52600</v>
      </c>
      <c r="E5" s="143" t="n">
        <f aca="false">(0.92*D5)/1000</f>
        <v>48.392</v>
      </c>
      <c r="F5" s="91"/>
      <c r="G5" s="144"/>
      <c r="H5" s="14" t="s">
        <v>145</v>
      </c>
      <c r="I5" s="7"/>
      <c r="J5" s="7" t="n">
        <v>71000</v>
      </c>
      <c r="K5" s="145" t="n">
        <f aca="false">(1.4*J5)/1000</f>
        <v>99.4</v>
      </c>
      <c r="L5" s="146" t="n">
        <v>6</v>
      </c>
      <c r="M5" s="139"/>
      <c r="N5" s="3"/>
      <c r="O5" s="3"/>
    </row>
    <row r="6" customFormat="false" ht="13.8" hidden="false" customHeight="false" outlineLevel="0" collapsed="false">
      <c r="A6" s="142"/>
      <c r="B6" s="14" t="n">
        <v>14</v>
      </c>
      <c r="C6" s="7"/>
      <c r="D6" s="7" t="n">
        <v>52600</v>
      </c>
      <c r="E6" s="143" t="n">
        <f aca="false">(1.25*D6)/1000</f>
        <v>65.75</v>
      </c>
      <c r="F6" s="91"/>
      <c r="G6" s="144"/>
      <c r="H6" s="14" t="s">
        <v>146</v>
      </c>
      <c r="I6" s="7"/>
      <c r="J6" s="147" t="n">
        <v>71000</v>
      </c>
      <c r="K6" s="145" t="n">
        <f aca="false">(1.72*J6)/1000</f>
        <v>122.12</v>
      </c>
      <c r="L6" s="146" t="n">
        <v>6</v>
      </c>
      <c r="M6" s="139"/>
      <c r="N6" s="3"/>
      <c r="O6" s="3"/>
    </row>
    <row r="7" customFormat="false" ht="13.8" hidden="false" customHeight="false" outlineLevel="0" collapsed="false">
      <c r="A7" s="142"/>
      <c r="B7" s="14" t="n">
        <v>16</v>
      </c>
      <c r="C7" s="7"/>
      <c r="D7" s="7" t="n">
        <v>52600</v>
      </c>
      <c r="E7" s="143" t="n">
        <f aca="false">(1.63*D7)/1000</f>
        <v>85.738</v>
      </c>
      <c r="F7" s="91"/>
      <c r="G7" s="144"/>
      <c r="H7" s="14" t="s">
        <v>147</v>
      </c>
      <c r="I7" s="7"/>
      <c r="J7" s="147" t="n">
        <v>71000</v>
      </c>
      <c r="K7" s="145" t="n">
        <f aca="false">(1.72*J7)/1000</f>
        <v>122.12</v>
      </c>
      <c r="L7" s="146" t="n">
        <v>6</v>
      </c>
      <c r="M7" s="139"/>
      <c r="N7" s="3"/>
      <c r="O7" s="3"/>
    </row>
    <row r="8" customFormat="false" ht="13.8" hidden="false" customHeight="false" outlineLevel="0" collapsed="false">
      <c r="A8" s="142"/>
      <c r="B8" s="14" t="n">
        <v>18</v>
      </c>
      <c r="C8" s="7"/>
      <c r="D8" s="147" t="n">
        <v>52600</v>
      </c>
      <c r="E8" s="143" t="n">
        <f aca="false">(2.02*D8)/1000</f>
        <v>106.252</v>
      </c>
      <c r="F8" s="91"/>
      <c r="G8" s="144"/>
      <c r="H8" s="14" t="s">
        <v>148</v>
      </c>
      <c r="I8" s="7"/>
      <c r="J8" s="147" t="n">
        <v>71000</v>
      </c>
      <c r="K8" s="145" t="n">
        <f aca="false">(1.9*J8)/1000</f>
        <v>134.9</v>
      </c>
      <c r="L8" s="146" t="n">
        <v>6</v>
      </c>
      <c r="M8" s="139"/>
      <c r="N8" s="3"/>
      <c r="O8" s="3"/>
    </row>
    <row r="9" customFormat="false" ht="13.8" hidden="false" customHeight="false" outlineLevel="0" collapsed="false">
      <c r="A9" s="142"/>
      <c r="B9" s="14" t="n">
        <v>20</v>
      </c>
      <c r="C9" s="7"/>
      <c r="D9" s="147" t="n">
        <v>52600</v>
      </c>
      <c r="E9" s="143" t="n">
        <f aca="false">(2.5*D9)/1000</f>
        <v>131.5</v>
      </c>
      <c r="F9" s="91"/>
      <c r="G9" s="144"/>
      <c r="H9" s="14" t="s">
        <v>149</v>
      </c>
      <c r="I9" s="7"/>
      <c r="J9" s="147" t="n">
        <v>71000</v>
      </c>
      <c r="K9" s="145" t="n">
        <f aca="false">(2.34*J9)/1000</f>
        <v>166.14</v>
      </c>
      <c r="L9" s="146" t="n">
        <v>6</v>
      </c>
      <c r="M9" s="139"/>
      <c r="N9" s="3"/>
      <c r="O9" s="3"/>
    </row>
    <row r="10" customFormat="false" ht="13.8" hidden="false" customHeight="false" outlineLevel="0" collapsed="false">
      <c r="A10" s="142"/>
      <c r="B10" s="14" t="n">
        <v>22</v>
      </c>
      <c r="C10" s="7"/>
      <c r="D10" s="147" t="n">
        <v>52600</v>
      </c>
      <c r="E10" s="143" t="n">
        <f aca="false">(3.01*D10)/1000</f>
        <v>158.326</v>
      </c>
      <c r="F10" s="91"/>
      <c r="G10" s="144"/>
      <c r="H10" s="14" t="s">
        <v>150</v>
      </c>
      <c r="I10" s="7"/>
      <c r="J10" s="147" t="n">
        <v>69500</v>
      </c>
      <c r="K10" s="145" t="n">
        <f aca="false">(3.37*J10)/1000</f>
        <v>234.215</v>
      </c>
      <c r="L10" s="146" t="n">
        <v>6</v>
      </c>
      <c r="M10" s="139"/>
      <c r="N10" s="3"/>
      <c r="O10" s="3"/>
    </row>
    <row r="11" customFormat="false" ht="13.8" hidden="false" customHeight="false" outlineLevel="0" collapsed="false">
      <c r="A11" s="142"/>
      <c r="B11" s="14" t="n">
        <v>25</v>
      </c>
      <c r="C11" s="7"/>
      <c r="D11" s="147" t="n">
        <v>52600</v>
      </c>
      <c r="E11" s="143" t="n">
        <f aca="false">(3.87*D11)/1000</f>
        <v>203.562</v>
      </c>
      <c r="F11" s="91"/>
      <c r="G11" s="144"/>
      <c r="H11" s="14" t="s">
        <v>151</v>
      </c>
      <c r="I11" s="7"/>
      <c r="J11" s="147" t="n">
        <v>71000</v>
      </c>
      <c r="K11" s="145" t="n">
        <f aca="false">(2.2*J11)/1000</f>
        <v>156.2</v>
      </c>
      <c r="L11" s="146" t="n">
        <v>6</v>
      </c>
      <c r="M11" s="139"/>
      <c r="N11" s="3"/>
      <c r="O11" s="3"/>
    </row>
    <row r="12" customFormat="false" ht="13.8" hidden="false" customHeight="false" outlineLevel="0" collapsed="false">
      <c r="A12" s="142"/>
      <c r="B12" s="14" t="n">
        <v>28</v>
      </c>
      <c r="C12" s="7"/>
      <c r="D12" s="147" t="n">
        <v>52600</v>
      </c>
      <c r="E12" s="143" t="n">
        <f aca="false">(4.85*D12)/1000</f>
        <v>255.11</v>
      </c>
      <c r="F12" s="91"/>
      <c r="G12" s="144"/>
      <c r="H12" s="14" t="s">
        <v>152</v>
      </c>
      <c r="I12" s="7"/>
      <c r="J12" s="147" t="n">
        <v>71000</v>
      </c>
      <c r="K12" s="145" t="n">
        <f aca="false">(2.34*J12)/1000</f>
        <v>166.14</v>
      </c>
      <c r="L12" s="146" t="n">
        <v>6</v>
      </c>
      <c r="M12" s="139"/>
      <c r="N12" s="3"/>
      <c r="O12" s="3"/>
    </row>
    <row r="13" customFormat="false" ht="13.8" hidden="false" customHeight="false" outlineLevel="0" collapsed="false">
      <c r="A13" s="140" t="s">
        <v>153</v>
      </c>
      <c r="B13" s="140"/>
      <c r="C13" s="140"/>
      <c r="D13" s="140"/>
      <c r="E13" s="140"/>
      <c r="F13" s="91"/>
      <c r="G13" s="144"/>
      <c r="H13" s="14" t="s">
        <v>154</v>
      </c>
      <c r="I13" s="7"/>
      <c r="J13" s="147" t="n">
        <v>71000</v>
      </c>
      <c r="K13" s="145" t="n">
        <f aca="false">(3*J13)/1000</f>
        <v>213</v>
      </c>
      <c r="L13" s="146" t="n">
        <v>6</v>
      </c>
      <c r="M13" s="139"/>
      <c r="N13" s="3"/>
      <c r="O13" s="3"/>
    </row>
    <row r="14" customFormat="false" ht="14.4" hidden="false" customHeight="true" outlineLevel="0" collapsed="false">
      <c r="A14" s="148" t="s">
        <v>155</v>
      </c>
      <c r="B14" s="14" t="s">
        <v>156</v>
      </c>
      <c r="C14" s="7"/>
      <c r="D14" s="7" t="n">
        <v>68000</v>
      </c>
      <c r="E14" s="143" t="n">
        <f aca="false">(0.28*D14)/1000</f>
        <v>19.04</v>
      </c>
      <c r="F14" s="91"/>
      <c r="G14" s="144"/>
      <c r="H14" s="14" t="s">
        <v>157</v>
      </c>
      <c r="I14" s="7"/>
      <c r="J14" s="147" t="n">
        <v>69500</v>
      </c>
      <c r="K14" s="145" t="n">
        <f aca="false">(4.32*J14)/1000</f>
        <v>300.24</v>
      </c>
      <c r="L14" s="146" t="n">
        <v>6</v>
      </c>
      <c r="M14" s="139"/>
      <c r="N14" s="3"/>
      <c r="O14" s="3"/>
    </row>
    <row r="15" customFormat="false" ht="13.8" hidden="false" customHeight="false" outlineLevel="0" collapsed="false">
      <c r="A15" s="148"/>
      <c r="B15" s="14" t="s">
        <v>158</v>
      </c>
      <c r="C15" s="7"/>
      <c r="D15" s="7" t="n">
        <v>67000</v>
      </c>
      <c r="E15" s="143" t="n">
        <f aca="false">(0.4*D15)/1000</f>
        <v>26.8</v>
      </c>
      <c r="F15" s="91"/>
      <c r="G15" s="144"/>
      <c r="H15" s="14" t="s">
        <v>159</v>
      </c>
      <c r="I15" s="7"/>
      <c r="J15" s="147" t="n">
        <v>71000</v>
      </c>
      <c r="K15" s="145" t="n">
        <f aca="false">(2.66*J15)/1000</f>
        <v>188.86</v>
      </c>
      <c r="L15" s="146" t="n">
        <v>6</v>
      </c>
      <c r="M15" s="139"/>
      <c r="N15" s="3"/>
      <c r="O15" s="3"/>
    </row>
    <row r="16" customFormat="false" ht="13.8" hidden="false" customHeight="false" outlineLevel="0" collapsed="false">
      <c r="A16" s="148"/>
      <c r="B16" s="14" t="s">
        <v>160</v>
      </c>
      <c r="C16" s="7"/>
      <c r="D16" s="7" t="n">
        <v>65500</v>
      </c>
      <c r="E16" s="143" t="n">
        <f aca="false">(0.65*D16)/1000</f>
        <v>42.575</v>
      </c>
      <c r="F16" s="91"/>
      <c r="G16" s="144"/>
      <c r="H16" s="14" t="s">
        <v>161</v>
      </c>
      <c r="I16" s="7"/>
      <c r="J16" s="147" t="n">
        <v>69500</v>
      </c>
      <c r="K16" s="145" t="n">
        <f aca="false">(3.84*J16)/1000</f>
        <v>266.88</v>
      </c>
      <c r="L16" s="146" t="n">
        <v>6</v>
      </c>
      <c r="M16" s="139"/>
      <c r="N16" s="3"/>
      <c r="O16" s="3"/>
    </row>
    <row r="17" customFormat="false" ht="13.8" hidden="false" customHeight="false" outlineLevel="0" collapsed="false">
      <c r="A17" s="148"/>
      <c r="B17" s="14" t="s">
        <v>162</v>
      </c>
      <c r="C17" s="7"/>
      <c r="D17" s="7" t="n">
        <v>64500</v>
      </c>
      <c r="E17" s="143" t="n">
        <f aca="false">(0.93*D17)/1000</f>
        <v>59.985</v>
      </c>
      <c r="F17" s="91"/>
      <c r="G17" s="144"/>
      <c r="H17" s="14" t="s">
        <v>163</v>
      </c>
      <c r="I17" s="7"/>
      <c r="J17" s="147" t="n">
        <v>71000</v>
      </c>
      <c r="K17" s="145" t="n">
        <f aca="false">(3*J17)/1000</f>
        <v>213</v>
      </c>
      <c r="L17" s="146" t="n">
        <v>6</v>
      </c>
      <c r="M17" s="139"/>
      <c r="N17" s="3"/>
      <c r="O17" s="3"/>
    </row>
    <row r="18" customFormat="false" ht="13.8" hidden="false" customHeight="false" outlineLevel="0" collapsed="false">
      <c r="A18" s="148"/>
      <c r="B18" s="14" t="s">
        <v>164</v>
      </c>
      <c r="C18" s="7"/>
      <c r="D18" s="7" t="n">
        <v>64500</v>
      </c>
      <c r="E18" s="143" t="n">
        <f aca="false">(1.25*D18)/1000</f>
        <v>80.625</v>
      </c>
      <c r="F18" s="91"/>
      <c r="G18" s="144"/>
      <c r="H18" s="14" t="s">
        <v>165</v>
      </c>
      <c r="I18" s="7"/>
      <c r="J18" s="147" t="n">
        <v>69500</v>
      </c>
      <c r="K18" s="145" t="n">
        <f aca="false">(4.32*J18)/1000</f>
        <v>300.24</v>
      </c>
      <c r="L18" s="146" t="n">
        <v>6</v>
      </c>
      <c r="M18" s="139"/>
      <c r="N18" s="3"/>
      <c r="O18" s="3"/>
    </row>
    <row r="19" customFormat="false" ht="13.8" hidden="false" customHeight="false" outlineLevel="0" collapsed="false">
      <c r="A19" s="148"/>
      <c r="B19" s="14" t="s">
        <v>166</v>
      </c>
      <c r="C19" s="7"/>
      <c r="D19" s="7" t="n">
        <v>62500</v>
      </c>
      <c r="E19" s="143" t="n">
        <f aca="false">(1.63*D19)/1000</f>
        <v>101.875</v>
      </c>
      <c r="F19" s="91"/>
      <c r="G19" s="144"/>
      <c r="H19" s="14" t="s">
        <v>167</v>
      </c>
      <c r="I19" s="7"/>
      <c r="J19" s="147" t="n">
        <v>71000</v>
      </c>
      <c r="K19" s="145" t="n">
        <f aca="false">(3.6*J19)/1000</f>
        <v>255.6</v>
      </c>
      <c r="L19" s="146" t="n">
        <v>6</v>
      </c>
      <c r="M19" s="139"/>
      <c r="N19" s="3"/>
      <c r="O19" s="3"/>
    </row>
    <row r="20" customFormat="false" ht="13.8" hidden="false" customHeight="false" outlineLevel="0" collapsed="false">
      <c r="A20" s="140" t="s">
        <v>168</v>
      </c>
      <c r="B20" s="140"/>
      <c r="C20" s="140"/>
      <c r="D20" s="140"/>
      <c r="E20" s="140"/>
      <c r="F20" s="91"/>
      <c r="G20" s="144"/>
      <c r="H20" s="14" t="s">
        <v>169</v>
      </c>
      <c r="I20" s="7"/>
      <c r="J20" s="147" t="n">
        <v>69500</v>
      </c>
      <c r="K20" s="145" t="n">
        <f aca="false">(5.26*J20)/1000</f>
        <v>365.57</v>
      </c>
      <c r="L20" s="146" t="n">
        <v>6</v>
      </c>
      <c r="M20" s="139"/>
      <c r="N20" s="3"/>
      <c r="O20" s="3"/>
    </row>
    <row r="21" customFormat="false" ht="14.4" hidden="false" customHeight="true" outlineLevel="0" collapsed="false">
      <c r="A21" s="149" t="s">
        <v>170</v>
      </c>
      <c r="B21" s="14" t="n">
        <v>6.5</v>
      </c>
      <c r="C21" s="7"/>
      <c r="D21" s="7" t="n">
        <v>64000</v>
      </c>
      <c r="E21" s="143" t="n">
        <f aca="false">(0.28*D21)/1000</f>
        <v>17.92</v>
      </c>
      <c r="F21" s="91"/>
      <c r="G21" s="144"/>
      <c r="H21" s="14" t="s">
        <v>171</v>
      </c>
      <c r="I21" s="7"/>
      <c r="J21" s="147" t="n">
        <v>71000</v>
      </c>
      <c r="K21" s="145" t="n">
        <f aca="false">(3.6*J21)/1000</f>
        <v>255.6</v>
      </c>
      <c r="L21" s="146" t="n">
        <v>6</v>
      </c>
      <c r="M21" s="139"/>
      <c r="N21" s="3"/>
      <c r="O21" s="3"/>
    </row>
    <row r="22" customFormat="false" ht="13.8" hidden="false" customHeight="false" outlineLevel="0" collapsed="false">
      <c r="A22" s="149"/>
      <c r="B22" s="14" t="n">
        <v>8</v>
      </c>
      <c r="C22" s="7"/>
      <c r="D22" s="7" t="n">
        <v>64000</v>
      </c>
      <c r="E22" s="143" t="n">
        <f aca="false">(0.4*D22)/1000</f>
        <v>25.6</v>
      </c>
      <c r="F22" s="91"/>
      <c r="G22" s="144"/>
      <c r="H22" s="14" t="s">
        <v>172</v>
      </c>
      <c r="I22" s="7"/>
      <c r="J22" s="147" t="n">
        <v>69500</v>
      </c>
      <c r="K22" s="145" t="n">
        <f aca="false">(5.26*J22)/1000</f>
        <v>365.57</v>
      </c>
      <c r="L22" s="146" t="n">
        <v>12</v>
      </c>
      <c r="M22" s="139"/>
      <c r="N22" s="3"/>
      <c r="O22" s="3"/>
    </row>
    <row r="23" customFormat="false" ht="13.8" hidden="false" customHeight="false" outlineLevel="0" collapsed="false">
      <c r="A23" s="140" t="s">
        <v>173</v>
      </c>
      <c r="B23" s="140"/>
      <c r="C23" s="140"/>
      <c r="D23" s="140"/>
      <c r="E23" s="140"/>
      <c r="F23" s="91"/>
      <c r="G23" s="144"/>
      <c r="H23" s="14" t="s">
        <v>174</v>
      </c>
      <c r="I23" s="7"/>
      <c r="J23" s="147" t="n">
        <v>69500</v>
      </c>
      <c r="K23" s="145" t="n">
        <f aca="false">(6.2*J23)/1000</f>
        <v>430.9</v>
      </c>
      <c r="L23" s="146" t="n">
        <v>12</v>
      </c>
      <c r="M23" s="139"/>
      <c r="N23" s="3"/>
      <c r="O23" s="3"/>
    </row>
    <row r="24" customFormat="false" ht="14.4" hidden="false" customHeight="true" outlineLevel="0" collapsed="false">
      <c r="A24" s="142" t="s">
        <v>175</v>
      </c>
      <c r="B24" s="14" t="n">
        <v>10</v>
      </c>
      <c r="C24" s="7"/>
      <c r="D24" s="7" t="n">
        <v>72500</v>
      </c>
      <c r="E24" s="143" t="n">
        <f aca="false">(9.8*D24)/1000</f>
        <v>710.5</v>
      </c>
      <c r="F24" s="91"/>
      <c r="G24" s="144"/>
      <c r="H24" s="14" t="s">
        <v>176</v>
      </c>
      <c r="I24" s="7"/>
      <c r="J24" s="147" t="n">
        <v>71000</v>
      </c>
      <c r="K24" s="145" t="n">
        <f aca="false">(4.85*J24)/1000</f>
        <v>344.35</v>
      </c>
      <c r="L24" s="146" t="n">
        <v>12</v>
      </c>
      <c r="M24" s="139"/>
      <c r="N24" s="3"/>
      <c r="O24" s="3"/>
    </row>
    <row r="25" customFormat="false" ht="13.8" hidden="false" customHeight="false" outlineLevel="0" collapsed="false">
      <c r="A25" s="142"/>
      <c r="B25" s="14" t="n">
        <v>12</v>
      </c>
      <c r="C25" s="7"/>
      <c r="D25" s="7" t="n">
        <v>65500</v>
      </c>
      <c r="E25" s="143" t="n">
        <f aca="false">(12.3*D25)/1000</f>
        <v>805.65</v>
      </c>
      <c r="F25" s="91"/>
      <c r="G25" s="144"/>
      <c r="H25" s="14" t="s">
        <v>177</v>
      </c>
      <c r="I25" s="7"/>
      <c r="J25" s="147" t="n">
        <v>69500</v>
      </c>
      <c r="K25" s="145" t="n">
        <f aca="false">(7.14*J25)/1000</f>
        <v>496.23</v>
      </c>
      <c r="L25" s="146" t="n">
        <v>12</v>
      </c>
      <c r="M25" s="139"/>
      <c r="N25" s="3"/>
      <c r="O25" s="3"/>
    </row>
    <row r="26" customFormat="false" ht="13.8" hidden="false" customHeight="false" outlineLevel="0" collapsed="false">
      <c r="A26" s="142"/>
      <c r="B26" s="14" t="n">
        <v>14</v>
      </c>
      <c r="C26" s="7"/>
      <c r="D26" s="7" t="n">
        <v>71000</v>
      </c>
      <c r="E26" s="143" t="n">
        <f aca="false">(14.3*D26)/1000</f>
        <v>1015.3</v>
      </c>
      <c r="F26" s="91"/>
      <c r="G26" s="144"/>
      <c r="H26" s="14" t="s">
        <v>178</v>
      </c>
      <c r="I26" s="7"/>
      <c r="J26" s="147" t="n">
        <v>69500</v>
      </c>
      <c r="K26" s="145" t="n">
        <f aca="false">(9.35*J26)/1000</f>
        <v>649.825</v>
      </c>
      <c r="L26" s="146" t="n">
        <v>12</v>
      </c>
      <c r="M26" s="139"/>
      <c r="N26" s="3"/>
      <c r="O26" s="3"/>
    </row>
    <row r="27" customFormat="false" ht="13.8" hidden="false" customHeight="false" outlineLevel="0" collapsed="false">
      <c r="A27" s="142"/>
      <c r="B27" s="14" t="n">
        <v>16</v>
      </c>
      <c r="C27" s="7"/>
      <c r="D27" s="7" t="n">
        <v>73500</v>
      </c>
      <c r="E27" s="143" t="n">
        <f aca="false">(17*D27)/1000</f>
        <v>1249.5</v>
      </c>
      <c r="F27" s="91"/>
      <c r="G27" s="144"/>
      <c r="H27" s="14" t="s">
        <v>179</v>
      </c>
      <c r="I27" s="7"/>
      <c r="J27" s="147" t="n">
        <v>69500</v>
      </c>
      <c r="K27" s="145" t="n">
        <f aca="false">(9.1*J27)/1000</f>
        <v>632.45</v>
      </c>
      <c r="L27" s="146" t="n">
        <v>12</v>
      </c>
      <c r="M27" s="139"/>
      <c r="N27" s="3"/>
      <c r="O27" s="3"/>
    </row>
    <row r="28" customFormat="false" ht="13.8" hidden="false" customHeight="false" outlineLevel="0" collapsed="false">
      <c r="A28" s="142"/>
      <c r="B28" s="14" t="n">
        <v>20</v>
      </c>
      <c r="C28" s="7"/>
      <c r="D28" s="7" t="n">
        <v>74500</v>
      </c>
      <c r="E28" s="143" t="n">
        <f aca="false">(21.5*D28)/1000</f>
        <v>1601.75</v>
      </c>
      <c r="F28" s="91"/>
      <c r="G28" s="144"/>
      <c r="H28" s="14" t="s">
        <v>180</v>
      </c>
      <c r="I28" s="7"/>
      <c r="J28" s="147" t="n">
        <v>69500</v>
      </c>
      <c r="K28" s="145" t="n">
        <f aca="false">(11.85*J28)/1000</f>
        <v>823.575</v>
      </c>
      <c r="L28" s="146" t="n">
        <v>12</v>
      </c>
      <c r="M28" s="139"/>
      <c r="N28" s="3"/>
      <c r="O28" s="3"/>
    </row>
    <row r="29" customFormat="false" ht="13.8" hidden="false" customHeight="false" outlineLevel="0" collapsed="false">
      <c r="A29" s="140" t="s">
        <v>181</v>
      </c>
      <c r="B29" s="140"/>
      <c r="C29" s="140"/>
      <c r="D29" s="140"/>
      <c r="E29" s="140"/>
      <c r="F29" s="91"/>
      <c r="G29" s="144"/>
      <c r="H29" s="14" t="s">
        <v>182</v>
      </c>
      <c r="I29" s="7"/>
      <c r="J29" s="147" t="n">
        <v>69500</v>
      </c>
      <c r="K29" s="145" t="n">
        <f aca="false">(6.7*J29)/1000</f>
        <v>465.65</v>
      </c>
      <c r="L29" s="146" t="n">
        <v>12</v>
      </c>
      <c r="M29" s="139"/>
      <c r="N29" s="3"/>
      <c r="O29" s="3"/>
    </row>
    <row r="30" customFormat="false" ht="14.4" hidden="false" customHeight="true" outlineLevel="0" collapsed="false">
      <c r="A30" s="148" t="s">
        <v>183</v>
      </c>
      <c r="B30" s="14" t="n">
        <v>10</v>
      </c>
      <c r="C30" s="7"/>
      <c r="D30" s="7" t="n">
        <v>72000</v>
      </c>
      <c r="E30" s="143" t="n">
        <f aca="false">(0.8*D30)/1000</f>
        <v>57.6</v>
      </c>
      <c r="F30" s="91"/>
      <c r="G30" s="144"/>
      <c r="H30" s="14" t="s">
        <v>184</v>
      </c>
      <c r="I30" s="7"/>
      <c r="J30" s="147" t="n">
        <v>69500</v>
      </c>
      <c r="K30" s="145" t="n">
        <f aca="false">(14.5*J30)/1000</f>
        <v>1007.75</v>
      </c>
      <c r="L30" s="146" t="n">
        <v>12</v>
      </c>
      <c r="M30" s="139"/>
      <c r="N30" s="3"/>
      <c r="O30" s="3"/>
    </row>
    <row r="31" customFormat="false" ht="13.8" hidden="false" customHeight="false" outlineLevel="0" collapsed="false">
      <c r="A31" s="148"/>
      <c r="B31" s="14" t="n">
        <v>12</v>
      </c>
      <c r="C31" s="7"/>
      <c r="D31" s="7" t="n">
        <v>70500</v>
      </c>
      <c r="E31" s="143" t="n">
        <f aca="false">(1.2*D31)/1000</f>
        <v>84.6</v>
      </c>
      <c r="F31" s="91"/>
      <c r="G31" s="144"/>
      <c r="H31" s="14" t="s">
        <v>185</v>
      </c>
      <c r="I31" s="7"/>
      <c r="J31" s="7" t="n">
        <v>76500</v>
      </c>
      <c r="K31" s="145" t="n">
        <f aca="false">(0.63*J31)/1000</f>
        <v>48.195</v>
      </c>
      <c r="L31" s="146" t="n">
        <v>6</v>
      </c>
      <c r="M31" s="139"/>
      <c r="N31" s="3"/>
      <c r="O31" s="3"/>
    </row>
    <row r="32" customFormat="false" ht="13.8" hidden="false" customHeight="false" outlineLevel="0" collapsed="false">
      <c r="A32" s="148"/>
      <c r="B32" s="14" t="n">
        <v>14</v>
      </c>
      <c r="C32" s="7"/>
      <c r="D32" s="7" t="n">
        <v>68000</v>
      </c>
      <c r="E32" s="143" t="n">
        <f aca="false">(1.54*D32)/1000</f>
        <v>104.72</v>
      </c>
      <c r="F32" s="91"/>
      <c r="G32" s="141" t="s">
        <v>186</v>
      </c>
      <c r="H32" s="141"/>
      <c r="I32" s="141"/>
      <c r="J32" s="141"/>
      <c r="K32" s="141"/>
      <c r="L32" s="150"/>
      <c r="M32" s="139"/>
      <c r="N32" s="3"/>
      <c r="O32" s="3"/>
    </row>
    <row r="33" customFormat="false" ht="14.4" hidden="false" customHeight="true" outlineLevel="0" collapsed="false">
      <c r="A33" s="148"/>
      <c r="B33" s="14" t="n">
        <v>16</v>
      </c>
      <c r="C33" s="7"/>
      <c r="D33" s="7" t="n">
        <v>68000</v>
      </c>
      <c r="E33" s="143" t="n">
        <f aca="false">(2.1*D33)/1000</f>
        <v>142.8</v>
      </c>
      <c r="F33" s="91"/>
      <c r="G33" s="144" t="s">
        <v>187</v>
      </c>
      <c r="H33" s="7" t="s">
        <v>188</v>
      </c>
      <c r="I33" s="7"/>
      <c r="J33" s="7" t="n">
        <v>71000</v>
      </c>
      <c r="K33" s="145" t="n">
        <f aca="false">(1.28*J33)/1000</f>
        <v>90.88</v>
      </c>
      <c r="L33" s="151" t="n">
        <v>7.8</v>
      </c>
      <c r="M33" s="139"/>
      <c r="N33" s="3"/>
      <c r="O33" s="3"/>
    </row>
    <row r="34" customFormat="false" ht="13.8" hidden="false" customHeight="false" outlineLevel="0" collapsed="false">
      <c r="A34" s="140" t="s">
        <v>189</v>
      </c>
      <c r="B34" s="140"/>
      <c r="C34" s="140"/>
      <c r="D34" s="140"/>
      <c r="E34" s="140"/>
      <c r="F34" s="91"/>
      <c r="G34" s="144"/>
      <c r="H34" s="7" t="s">
        <v>190</v>
      </c>
      <c r="I34" s="7"/>
      <c r="J34" s="7" t="n">
        <v>71000</v>
      </c>
      <c r="K34" s="145" t="n">
        <f aca="false">(1.67*J34)/1000</f>
        <v>118.57</v>
      </c>
      <c r="L34" s="151" t="n">
        <v>7.85</v>
      </c>
      <c r="M34" s="139"/>
      <c r="N34" s="3"/>
      <c r="O34" s="3"/>
    </row>
    <row r="35" customFormat="false" ht="14.4" hidden="false" customHeight="true" outlineLevel="0" collapsed="false">
      <c r="A35" s="148" t="s">
        <v>191</v>
      </c>
      <c r="B35" s="7" t="s">
        <v>192</v>
      </c>
      <c r="C35" s="7"/>
      <c r="D35" s="7" t="n">
        <v>65000</v>
      </c>
      <c r="E35" s="143" t="n">
        <f aca="false">(33*D35)/1000</f>
        <v>2145</v>
      </c>
      <c r="F35" s="91"/>
      <c r="G35" s="144"/>
      <c r="H35" s="7" t="s">
        <v>193</v>
      </c>
      <c r="I35" s="7"/>
      <c r="J35" s="7" t="n">
        <v>71000</v>
      </c>
      <c r="K35" s="145" t="n">
        <f aca="false">(2.15*J35)/1000</f>
        <v>152.65</v>
      </c>
      <c r="L35" s="151" t="n">
        <v>7.8</v>
      </c>
      <c r="M35" s="139"/>
      <c r="N35" s="3"/>
      <c r="O35" s="3"/>
    </row>
    <row r="36" customFormat="false" ht="13.8" hidden="false" customHeight="false" outlineLevel="0" collapsed="false">
      <c r="A36" s="148"/>
      <c r="B36" s="7" t="s">
        <v>194</v>
      </c>
      <c r="C36" s="7"/>
      <c r="D36" s="7" t="n">
        <v>65000</v>
      </c>
      <c r="E36" s="143" t="n">
        <f aca="false">(50*D36)/1000</f>
        <v>3250</v>
      </c>
      <c r="F36" s="91"/>
      <c r="G36" s="144"/>
      <c r="H36" s="7" t="s">
        <v>195</v>
      </c>
      <c r="I36" s="7"/>
      <c r="J36" s="7" t="n">
        <v>71000</v>
      </c>
      <c r="K36" s="145" t="n">
        <f aca="false">(2.75*J36)/1000</f>
        <v>195.25</v>
      </c>
      <c r="L36" s="151" t="n">
        <v>6</v>
      </c>
      <c r="M36" s="139"/>
      <c r="N36" s="3"/>
      <c r="O36" s="3"/>
    </row>
    <row r="37" customFormat="false" ht="13.8" hidden="false" customHeight="false" outlineLevel="0" collapsed="false">
      <c r="A37" s="148"/>
      <c r="B37" s="7" t="s">
        <v>196</v>
      </c>
      <c r="C37" s="7"/>
      <c r="D37" s="7" t="n">
        <v>65000</v>
      </c>
      <c r="E37" s="143" t="n">
        <f aca="false">(50*D37)/1000</f>
        <v>3250</v>
      </c>
      <c r="F37" s="91"/>
      <c r="G37" s="144"/>
      <c r="H37" s="7" t="s">
        <v>197</v>
      </c>
      <c r="I37" s="7"/>
      <c r="J37" s="7" t="n">
        <v>71000</v>
      </c>
      <c r="K37" s="145" t="n">
        <f aca="false">(3.35*J37)/1000</f>
        <v>237.85</v>
      </c>
      <c r="L37" s="151" t="n">
        <v>7.85</v>
      </c>
      <c r="M37" s="139"/>
      <c r="N37" s="3"/>
      <c r="O37" s="3"/>
    </row>
    <row r="38" customFormat="false" ht="14.4" hidden="false" customHeight="true" outlineLevel="0" collapsed="false">
      <c r="A38" s="148"/>
      <c r="B38" s="7" t="s">
        <v>198</v>
      </c>
      <c r="C38" s="7"/>
      <c r="D38" s="7" t="n">
        <v>66000</v>
      </c>
      <c r="E38" s="143" t="n">
        <f aca="false">(75*D38)/1000</f>
        <v>4950</v>
      </c>
      <c r="F38" s="91"/>
      <c r="G38" s="144" t="s">
        <v>199</v>
      </c>
      <c r="H38" s="7" t="s">
        <v>200</v>
      </c>
      <c r="I38" s="7"/>
      <c r="J38" s="7" t="n">
        <v>71000</v>
      </c>
      <c r="K38" s="145" t="n">
        <f aca="false">(4.01*J38)/1000</f>
        <v>284.71</v>
      </c>
      <c r="L38" s="151" t="n">
        <v>9.5</v>
      </c>
      <c r="M38" s="139"/>
      <c r="N38" s="3"/>
      <c r="O38" s="3"/>
    </row>
    <row r="39" customFormat="false" ht="13.8" hidden="false" customHeight="false" outlineLevel="0" collapsed="false">
      <c r="A39" s="148"/>
      <c r="B39" s="7" t="s">
        <v>201</v>
      </c>
      <c r="C39" s="7"/>
      <c r="D39" s="7" t="n">
        <v>65000</v>
      </c>
      <c r="E39" s="143" t="n">
        <f aca="false">(285*D39)/1000</f>
        <v>18525</v>
      </c>
      <c r="F39" s="91"/>
      <c r="G39" s="144"/>
      <c r="H39" s="7" t="s">
        <v>202</v>
      </c>
      <c r="I39" s="7"/>
      <c r="J39" s="7" t="n">
        <v>71000</v>
      </c>
      <c r="K39" s="145" t="n">
        <f aca="false">(5.4*J39)/1000</f>
        <v>383.4</v>
      </c>
      <c r="L39" s="151" t="n">
        <v>9.5</v>
      </c>
      <c r="M39" s="139"/>
      <c r="N39" s="3"/>
      <c r="O39" s="3"/>
    </row>
    <row r="40" customFormat="false" ht="13.8" hidden="false" customHeight="false" outlineLevel="0" collapsed="false">
      <c r="A40" s="148"/>
      <c r="B40" s="7" t="s">
        <v>203</v>
      </c>
      <c r="C40" s="7"/>
      <c r="D40" s="7" t="n">
        <v>65000</v>
      </c>
      <c r="E40" s="143" t="n">
        <f aca="false">(430*D40)/1000</f>
        <v>27950</v>
      </c>
      <c r="F40" s="91"/>
      <c r="G40" s="144"/>
      <c r="H40" s="7" t="s">
        <v>204</v>
      </c>
      <c r="I40" s="7"/>
      <c r="J40" s="7" t="n">
        <v>71000</v>
      </c>
      <c r="K40" s="145" t="n">
        <f aca="false">(6.36*J40)/1000</f>
        <v>451.56</v>
      </c>
      <c r="L40" s="151" t="n">
        <v>11.4</v>
      </c>
      <c r="M40" s="139"/>
      <c r="N40" s="3"/>
      <c r="O40" s="3"/>
    </row>
    <row r="41" customFormat="false" ht="13.8" hidden="false" customHeight="false" outlineLevel="0" collapsed="false">
      <c r="A41" s="148"/>
      <c r="B41" s="7" t="s">
        <v>205</v>
      </c>
      <c r="C41" s="7"/>
      <c r="D41" s="7" t="n">
        <v>65000</v>
      </c>
      <c r="E41" s="143" t="n">
        <f aca="false">(570*D41)/1000</f>
        <v>37050</v>
      </c>
      <c r="F41" s="91"/>
      <c r="G41" s="144"/>
      <c r="H41" s="7" t="s">
        <v>206</v>
      </c>
      <c r="I41" s="7"/>
      <c r="J41" s="7" t="n">
        <v>71000</v>
      </c>
      <c r="K41" s="145" t="n">
        <f aca="false">(7.35*J41)/1000</f>
        <v>521.85</v>
      </c>
      <c r="L41" s="151" t="n">
        <v>11</v>
      </c>
      <c r="M41" s="139"/>
      <c r="N41" s="3"/>
      <c r="O41" s="3"/>
    </row>
    <row r="42" customFormat="false" ht="13.8" hidden="false" customHeight="false" outlineLevel="0" collapsed="false">
      <c r="A42" s="148"/>
      <c r="B42" s="7" t="s">
        <v>207</v>
      </c>
      <c r="C42" s="7"/>
      <c r="D42" s="7" t="n">
        <v>65000</v>
      </c>
      <c r="E42" s="143" t="n">
        <f aca="false">(715*D42)/1000</f>
        <v>46475</v>
      </c>
      <c r="F42" s="91"/>
      <c r="G42" s="144"/>
      <c r="H42" s="7" t="s">
        <v>208</v>
      </c>
      <c r="I42" s="7"/>
      <c r="J42" s="7" t="n">
        <v>71000</v>
      </c>
      <c r="K42" s="145" t="n">
        <f aca="false">(12.75*J42)/1000</f>
        <v>905.25</v>
      </c>
      <c r="L42" s="151" t="n">
        <v>11.6</v>
      </c>
      <c r="M42" s="139"/>
      <c r="N42" s="3"/>
      <c r="O42" s="3"/>
    </row>
    <row r="43" customFormat="false" ht="14.4" hidden="false" customHeight="true" outlineLevel="0" collapsed="false">
      <c r="A43" s="152" t="s">
        <v>209</v>
      </c>
      <c r="B43" s="4" t="s">
        <v>201</v>
      </c>
      <c r="C43" s="4"/>
      <c r="D43" s="4" t="n">
        <v>65000</v>
      </c>
      <c r="E43" s="153" t="n">
        <f aca="false">(290*D43)/1000</f>
        <v>18850</v>
      </c>
      <c r="F43" s="91"/>
      <c r="G43" s="144"/>
      <c r="H43" s="7" t="s">
        <v>210</v>
      </c>
      <c r="I43" s="7"/>
      <c r="J43" s="7" t="n">
        <v>71000</v>
      </c>
      <c r="K43" s="145" t="n">
        <f aca="false">(15.32*J43)/1000</f>
        <v>1087.72</v>
      </c>
      <c r="L43" s="151" t="n">
        <v>11.8</v>
      </c>
      <c r="M43" s="139"/>
      <c r="N43" s="3"/>
      <c r="O43" s="3"/>
    </row>
    <row r="44" customFormat="false" ht="13.8" hidden="false" customHeight="false" outlineLevel="0" collapsed="false">
      <c r="A44" s="152"/>
      <c r="B44" s="4"/>
      <c r="C44" s="4"/>
      <c r="D44" s="4"/>
      <c r="E44" s="153"/>
      <c r="F44" s="91"/>
      <c r="G44" s="154" t="s">
        <v>211</v>
      </c>
      <c r="H44" s="7" t="s">
        <v>212</v>
      </c>
      <c r="I44" s="7"/>
      <c r="J44" s="7" t="n">
        <v>83000</v>
      </c>
      <c r="K44" s="145" t="n">
        <f aca="false">(7.4*J44)/1000</f>
        <v>614.2</v>
      </c>
      <c r="L44" s="151" t="n">
        <v>10</v>
      </c>
      <c r="M44" s="139"/>
      <c r="N44" s="3"/>
      <c r="O44" s="3"/>
    </row>
    <row r="45" customFormat="false" ht="13.8" hidden="false" customHeight="false" outlineLevel="0" collapsed="false">
      <c r="A45" s="140" t="s">
        <v>213</v>
      </c>
      <c r="B45" s="140"/>
      <c r="C45" s="140"/>
      <c r="D45" s="140"/>
      <c r="E45" s="140"/>
      <c r="F45" s="91"/>
      <c r="G45" s="141" t="s">
        <v>214</v>
      </c>
      <c r="H45" s="141"/>
      <c r="I45" s="141"/>
      <c r="J45" s="141"/>
      <c r="K45" s="141"/>
      <c r="L45" s="150"/>
      <c r="M45" s="139"/>
      <c r="N45" s="3"/>
      <c r="O45" s="3"/>
    </row>
    <row r="46" customFormat="false" ht="14.4" hidden="false" customHeight="true" outlineLevel="0" collapsed="false">
      <c r="A46" s="142" t="s">
        <v>215</v>
      </c>
      <c r="B46" s="7" t="s">
        <v>216</v>
      </c>
      <c r="C46" s="7"/>
      <c r="D46" s="7" t="n">
        <v>85000</v>
      </c>
      <c r="E46" s="143" t="n">
        <f aca="false">(30*D46)/1000</f>
        <v>2550</v>
      </c>
      <c r="F46" s="91"/>
      <c r="G46" s="144" t="s">
        <v>217</v>
      </c>
      <c r="H46" s="7" t="s">
        <v>218</v>
      </c>
      <c r="I46" s="7"/>
      <c r="J46" s="7" t="n">
        <v>71500</v>
      </c>
      <c r="K46" s="145" t="n">
        <f aca="false">(1.25*J46)/1000</f>
        <v>89.375</v>
      </c>
      <c r="L46" s="151" t="n">
        <v>6</v>
      </c>
      <c r="M46" s="139"/>
      <c r="N46" s="3"/>
      <c r="O46" s="3"/>
    </row>
    <row r="47" customFormat="false" ht="13.8" hidden="false" customHeight="false" outlineLevel="0" collapsed="false">
      <c r="A47" s="142"/>
      <c r="B47" s="7" t="s">
        <v>219</v>
      </c>
      <c r="C47" s="7"/>
      <c r="D47" s="7" t="n">
        <v>85000</v>
      </c>
      <c r="E47" s="143" t="n">
        <f aca="false">(38*D47)/1000</f>
        <v>3230</v>
      </c>
      <c r="F47" s="91"/>
      <c r="G47" s="144"/>
      <c r="H47" s="7" t="s">
        <v>220</v>
      </c>
      <c r="I47" s="7"/>
      <c r="J47" s="7" t="n">
        <v>71500</v>
      </c>
      <c r="K47" s="145" t="n">
        <f aca="false">(1.6*J47)/1000</f>
        <v>114.4</v>
      </c>
      <c r="L47" s="151" t="n">
        <v>6</v>
      </c>
      <c r="M47" s="139"/>
      <c r="N47" s="3"/>
      <c r="O47" s="3"/>
    </row>
    <row r="48" customFormat="false" ht="13.8" hidden="false" customHeight="false" outlineLevel="0" collapsed="false">
      <c r="A48" s="142"/>
      <c r="B48" s="7" t="s">
        <v>192</v>
      </c>
      <c r="C48" s="7"/>
      <c r="D48" s="7" t="n">
        <v>85000</v>
      </c>
      <c r="E48" s="143" t="n">
        <f aca="false">(32*D48)/1000</f>
        <v>2720</v>
      </c>
      <c r="F48" s="91"/>
      <c r="G48" s="144"/>
      <c r="H48" s="7" t="s">
        <v>221</v>
      </c>
      <c r="I48" s="7"/>
      <c r="J48" s="7" t="n">
        <v>66000</v>
      </c>
      <c r="K48" s="145" t="n">
        <f aca="false">(2.5*J48)/1000</f>
        <v>165</v>
      </c>
      <c r="L48" s="151" t="n">
        <v>12</v>
      </c>
      <c r="M48" s="139"/>
      <c r="N48" s="3"/>
      <c r="O48" s="3"/>
    </row>
    <row r="49" customFormat="false" ht="13.8" hidden="false" customHeight="false" outlineLevel="0" collapsed="false">
      <c r="A49" s="142"/>
      <c r="B49" s="7" t="s">
        <v>194</v>
      </c>
      <c r="C49" s="7"/>
      <c r="D49" s="7" t="n">
        <v>85000</v>
      </c>
      <c r="E49" s="143" t="n">
        <f aca="false">(50*D49)/1000</f>
        <v>4250</v>
      </c>
      <c r="F49" s="91"/>
      <c r="G49" s="144"/>
      <c r="H49" s="7" t="s">
        <v>222</v>
      </c>
      <c r="I49" s="7"/>
      <c r="J49" s="7" t="n">
        <v>66000</v>
      </c>
      <c r="K49" s="145" t="n">
        <f aca="false">(2.8*J49)/1000</f>
        <v>184.8</v>
      </c>
      <c r="L49" s="151" t="n">
        <v>11.7</v>
      </c>
      <c r="M49" s="139"/>
      <c r="N49" s="3"/>
      <c r="O49" s="3"/>
    </row>
    <row r="50" customFormat="false" ht="13.8" hidden="false" customHeight="false" outlineLevel="0" collapsed="false">
      <c r="A50" s="140" t="s">
        <v>223</v>
      </c>
      <c r="B50" s="140"/>
      <c r="C50" s="140"/>
      <c r="D50" s="140"/>
      <c r="E50" s="140"/>
      <c r="F50" s="91"/>
      <c r="G50" s="144"/>
      <c r="H50" s="7" t="s">
        <v>108</v>
      </c>
      <c r="I50" s="7"/>
      <c r="J50" s="7" t="n">
        <v>66000</v>
      </c>
      <c r="K50" s="145" t="n">
        <f aca="false">(3.2*J50)/1000</f>
        <v>211.2</v>
      </c>
      <c r="L50" s="151" t="n">
        <v>12</v>
      </c>
      <c r="M50" s="139"/>
      <c r="N50" s="3"/>
      <c r="O50" s="3"/>
    </row>
    <row r="51" customFormat="false" ht="14.4" hidden="false" customHeight="true" outlineLevel="0" collapsed="false">
      <c r="A51" s="148" t="s">
        <v>224</v>
      </c>
      <c r="B51" s="14" t="s">
        <v>225</v>
      </c>
      <c r="C51" s="7"/>
      <c r="D51" s="7" t="n">
        <v>66000</v>
      </c>
      <c r="E51" s="143" t="n">
        <f aca="false">(0.8*D51)/1000</f>
        <v>52.8</v>
      </c>
      <c r="F51" s="91"/>
      <c r="G51" s="144"/>
      <c r="H51" s="7" t="s">
        <v>226</v>
      </c>
      <c r="I51" s="7"/>
      <c r="J51" s="7" t="n">
        <v>66000</v>
      </c>
      <c r="K51" s="145" t="n">
        <f aca="false">(3.85*J51)/1000</f>
        <v>254.1</v>
      </c>
      <c r="L51" s="151" t="n">
        <v>11.7</v>
      </c>
      <c r="M51" s="139"/>
      <c r="N51" s="3"/>
      <c r="O51" s="3"/>
    </row>
    <row r="52" customFormat="false" ht="13.8" hidden="false" customHeight="false" outlineLevel="0" collapsed="false">
      <c r="A52" s="148"/>
      <c r="B52" s="14" t="s">
        <v>227</v>
      </c>
      <c r="C52" s="7"/>
      <c r="D52" s="7" t="n">
        <v>66000</v>
      </c>
      <c r="E52" s="143" t="n">
        <f aca="false">(0.96*D52)/1000</f>
        <v>63.36</v>
      </c>
      <c r="F52" s="91"/>
      <c r="G52" s="144"/>
      <c r="H52" s="7" t="s">
        <v>228</v>
      </c>
      <c r="I52" s="7"/>
      <c r="J52" s="7" t="n">
        <v>66000</v>
      </c>
      <c r="K52" s="145" t="n">
        <f aca="false">(5*J52)/1000</f>
        <v>330</v>
      </c>
      <c r="L52" s="151" t="n">
        <v>12</v>
      </c>
      <c r="M52" s="139"/>
      <c r="N52" s="3"/>
      <c r="O52" s="3"/>
    </row>
    <row r="53" customFormat="false" ht="13.8" hidden="false" customHeight="false" outlineLevel="0" collapsed="false">
      <c r="A53" s="148"/>
      <c r="B53" s="14" t="s">
        <v>229</v>
      </c>
      <c r="C53" s="7"/>
      <c r="D53" s="7" t="n">
        <v>67000</v>
      </c>
      <c r="E53" s="143" t="n">
        <f aca="false">(1.32*D53)/1000</f>
        <v>88.44</v>
      </c>
      <c r="F53" s="91"/>
      <c r="G53" s="144"/>
      <c r="H53" s="7" t="s">
        <v>230</v>
      </c>
      <c r="I53" s="7"/>
      <c r="J53" s="7" t="n">
        <v>66000</v>
      </c>
      <c r="K53" s="145" t="n">
        <f aca="false">(5.95*J53)/1000</f>
        <v>392.7</v>
      </c>
      <c r="L53" s="151" t="n">
        <v>12</v>
      </c>
      <c r="M53" s="139"/>
      <c r="N53" s="3"/>
      <c r="O53" s="3"/>
    </row>
    <row r="54" customFormat="false" ht="13.8" hidden="false" customHeight="false" outlineLevel="0" collapsed="false">
      <c r="A54" s="148"/>
      <c r="B54" s="14" t="s">
        <v>231</v>
      </c>
      <c r="C54" s="7"/>
      <c r="D54" s="7" t="n">
        <v>67000</v>
      </c>
      <c r="E54" s="143" t="n">
        <f aca="false">(1.51*D54)/1000</f>
        <v>101.17</v>
      </c>
      <c r="F54" s="91"/>
      <c r="G54" s="144"/>
      <c r="H54" s="7" t="s">
        <v>232</v>
      </c>
      <c r="I54" s="7"/>
      <c r="J54" s="7" t="n">
        <v>66000</v>
      </c>
      <c r="K54" s="145" t="n">
        <f aca="false">(7*J54)/1000</f>
        <v>462</v>
      </c>
      <c r="L54" s="151" t="n">
        <v>12</v>
      </c>
      <c r="M54" s="139"/>
      <c r="N54" s="3"/>
      <c r="O54" s="3"/>
    </row>
    <row r="55" customFormat="false" ht="13.8" hidden="false" customHeight="false" outlineLevel="0" collapsed="false">
      <c r="A55" s="140" t="s">
        <v>233</v>
      </c>
      <c r="B55" s="140"/>
      <c r="C55" s="140"/>
      <c r="D55" s="140"/>
      <c r="E55" s="140"/>
      <c r="F55" s="91"/>
      <c r="G55" s="144"/>
      <c r="H55" s="7" t="s">
        <v>234</v>
      </c>
      <c r="I55" s="7"/>
      <c r="J55" s="7" t="n">
        <v>66000</v>
      </c>
      <c r="K55" s="145" t="n">
        <f aca="false">(15.2*J55)/1000</f>
        <v>1003.2</v>
      </c>
      <c r="L55" s="151" t="n">
        <v>12</v>
      </c>
      <c r="M55" s="139"/>
      <c r="N55" s="3"/>
      <c r="O55" s="3"/>
    </row>
    <row r="56" customFormat="false" ht="14.4" hidden="false" customHeight="true" outlineLevel="0" collapsed="false">
      <c r="A56" s="155" t="s">
        <v>235</v>
      </c>
      <c r="B56" s="14" t="n">
        <v>1.2</v>
      </c>
      <c r="C56" s="7"/>
      <c r="D56" s="7" t="n">
        <v>75000</v>
      </c>
      <c r="E56" s="7"/>
      <c r="F56" s="91"/>
      <c r="G56" s="144"/>
      <c r="H56" s="7" t="s">
        <v>236</v>
      </c>
      <c r="I56" s="7"/>
      <c r="J56" s="7" t="n">
        <v>66000</v>
      </c>
      <c r="K56" s="145" t="n">
        <f aca="false">(11*J56)/1000</f>
        <v>726</v>
      </c>
      <c r="L56" s="151" t="n">
        <v>12</v>
      </c>
      <c r="M56" s="139"/>
      <c r="N56" s="3"/>
      <c r="O56" s="3"/>
    </row>
    <row r="57" customFormat="false" ht="13.8" hidden="false" customHeight="false" outlineLevel="0" collapsed="false">
      <c r="A57" s="155"/>
      <c r="B57" s="14" t="n">
        <v>2</v>
      </c>
      <c r="C57" s="7"/>
      <c r="D57" s="7" t="n">
        <v>73000</v>
      </c>
      <c r="E57" s="7"/>
      <c r="F57" s="91"/>
      <c r="G57" s="141" t="s">
        <v>237</v>
      </c>
      <c r="H57" s="141"/>
      <c r="I57" s="141"/>
      <c r="J57" s="141"/>
      <c r="K57" s="141"/>
      <c r="L57" s="150"/>
      <c r="M57" s="139"/>
      <c r="N57" s="3"/>
      <c r="O57" s="3"/>
    </row>
    <row r="58" customFormat="false" ht="14.4" hidden="false" customHeight="true" outlineLevel="0" collapsed="false">
      <c r="A58" s="155"/>
      <c r="B58" s="14" t="n">
        <v>3</v>
      </c>
      <c r="C58" s="7"/>
      <c r="D58" s="7" t="n">
        <v>73000</v>
      </c>
      <c r="E58" s="7"/>
      <c r="F58" s="91"/>
      <c r="G58" s="156" t="s">
        <v>238</v>
      </c>
      <c r="H58" s="14" t="n">
        <v>6.5</v>
      </c>
      <c r="I58" s="7"/>
      <c r="J58" s="7" t="n">
        <v>65000</v>
      </c>
      <c r="K58" s="145" t="n">
        <f aca="false">(6.2*J58)/1000</f>
        <v>403</v>
      </c>
      <c r="L58" s="146"/>
      <c r="M58" s="139"/>
      <c r="N58" s="3"/>
      <c r="O58" s="3"/>
    </row>
    <row r="59" customFormat="false" ht="13.8" hidden="false" customHeight="false" outlineLevel="0" collapsed="false">
      <c r="A59" s="140" t="s">
        <v>239</v>
      </c>
      <c r="B59" s="140"/>
      <c r="C59" s="140"/>
      <c r="D59" s="140"/>
      <c r="E59" s="140"/>
      <c r="F59" s="91"/>
      <c r="G59" s="156"/>
      <c r="H59" s="14" t="n">
        <v>8</v>
      </c>
      <c r="I59" s="7"/>
      <c r="J59" s="7" t="n">
        <v>64500</v>
      </c>
      <c r="K59" s="145" t="n">
        <f aca="false">(7.4*J59)/1000</f>
        <v>477.3</v>
      </c>
      <c r="L59" s="146"/>
      <c r="M59" s="139"/>
      <c r="N59" s="3"/>
      <c r="O59" s="3"/>
    </row>
    <row r="60" customFormat="false" ht="14.4" hidden="false" customHeight="true" outlineLevel="0" collapsed="false">
      <c r="A60" s="157" t="s">
        <v>240</v>
      </c>
      <c r="B60" s="7" t="s">
        <v>179</v>
      </c>
      <c r="C60" s="7"/>
      <c r="D60" s="7" t="n">
        <v>135</v>
      </c>
      <c r="E60" s="7"/>
      <c r="F60" s="91"/>
      <c r="G60" s="156"/>
      <c r="H60" s="14" t="n">
        <v>10</v>
      </c>
      <c r="I60" s="7"/>
      <c r="J60" s="7" t="n">
        <v>64000</v>
      </c>
      <c r="K60" s="145" t="n">
        <f aca="false">(8.9*J60)/1000</f>
        <v>569.6</v>
      </c>
      <c r="L60" s="146"/>
      <c r="M60" s="139"/>
      <c r="N60" s="3"/>
      <c r="O60" s="3"/>
    </row>
    <row r="61" customFormat="false" ht="13.8" hidden="false" customHeight="false" outlineLevel="0" collapsed="false">
      <c r="A61" s="157"/>
      <c r="B61" s="7" t="s">
        <v>180</v>
      </c>
      <c r="C61" s="7"/>
      <c r="D61" s="7" t="n">
        <v>215</v>
      </c>
      <c r="E61" s="7"/>
      <c r="F61" s="91"/>
      <c r="G61" s="156"/>
      <c r="H61" s="14" t="n">
        <v>12</v>
      </c>
      <c r="I61" s="7"/>
      <c r="J61" s="7" t="n">
        <v>64000</v>
      </c>
      <c r="K61" s="145" t="n">
        <f aca="false">(10.9*J61)/1000</f>
        <v>697.6</v>
      </c>
      <c r="L61" s="146"/>
      <c r="M61" s="139"/>
      <c r="N61" s="3"/>
      <c r="O61" s="3"/>
    </row>
    <row r="62" customFormat="false" ht="13.8" hidden="false" customHeight="false" outlineLevel="0" collapsed="false">
      <c r="A62" s="157"/>
      <c r="B62" s="7" t="s">
        <v>241</v>
      </c>
      <c r="C62" s="7"/>
      <c r="D62" s="7" t="n">
        <v>120</v>
      </c>
      <c r="E62" s="7"/>
      <c r="F62" s="91"/>
      <c r="G62" s="156"/>
      <c r="H62" s="14" t="n">
        <v>14</v>
      </c>
      <c r="I62" s="7"/>
      <c r="J62" s="7" t="n">
        <v>67000</v>
      </c>
      <c r="K62" s="145" t="n">
        <f aca="false">(12.9*J62)/1000</f>
        <v>864.3</v>
      </c>
      <c r="L62" s="146"/>
      <c r="M62" s="139"/>
      <c r="N62" s="3"/>
      <c r="O62" s="3"/>
    </row>
    <row r="63" customFormat="false" ht="13.8" hidden="false" customHeight="false" outlineLevel="0" collapsed="false">
      <c r="A63" s="157"/>
      <c r="B63" s="7" t="s">
        <v>242</v>
      </c>
      <c r="C63" s="7"/>
      <c r="D63" s="7" t="n">
        <v>170</v>
      </c>
      <c r="E63" s="7"/>
      <c r="F63" s="91"/>
      <c r="G63" s="156"/>
      <c r="H63" s="14" t="n">
        <v>16</v>
      </c>
      <c r="I63" s="7"/>
      <c r="J63" s="7" t="n">
        <v>67500</v>
      </c>
      <c r="K63" s="145" t="n">
        <f aca="false">(14.9*J63)/1000</f>
        <v>1005.75</v>
      </c>
      <c r="L63" s="146"/>
      <c r="M63" s="139"/>
      <c r="N63" s="3"/>
      <c r="O63" s="3"/>
    </row>
    <row r="64" customFormat="false" ht="13.8" hidden="false" customHeight="false" outlineLevel="0" collapsed="false">
      <c r="A64" s="157"/>
      <c r="B64" s="7" t="s">
        <v>243</v>
      </c>
      <c r="C64" s="7"/>
      <c r="D64" s="7" t="n">
        <v>250</v>
      </c>
      <c r="E64" s="7"/>
      <c r="F64" s="91"/>
      <c r="G64" s="156"/>
      <c r="H64" s="14" t="n">
        <v>18</v>
      </c>
      <c r="I64" s="7"/>
      <c r="J64" s="7" t="n">
        <v>68500</v>
      </c>
      <c r="K64" s="145" t="n">
        <f aca="false">(16.9*J64)/1000</f>
        <v>1157.65</v>
      </c>
      <c r="L64" s="146"/>
      <c r="M64" s="139"/>
      <c r="N64" s="3"/>
      <c r="O64" s="3"/>
    </row>
    <row r="65" customFormat="false" ht="13.8" hidden="false" customHeight="false" outlineLevel="0" collapsed="false">
      <c r="A65" s="157"/>
      <c r="B65" s="7" t="s">
        <v>157</v>
      </c>
      <c r="C65" s="7"/>
      <c r="D65" s="7" t="n">
        <v>235</v>
      </c>
      <c r="E65" s="7"/>
      <c r="F65" s="91"/>
      <c r="G65" s="156"/>
      <c r="H65" s="14" t="n">
        <v>22</v>
      </c>
      <c r="I65" s="7"/>
      <c r="J65" s="7" t="n">
        <v>70000</v>
      </c>
      <c r="K65" s="145" t="n">
        <f aca="false">(21.5*J65)/1000</f>
        <v>1505</v>
      </c>
      <c r="L65" s="146"/>
      <c r="M65" s="139"/>
      <c r="N65" s="3"/>
      <c r="O65" s="3"/>
    </row>
    <row r="66" customFormat="false" ht="13.8" hidden="false" customHeight="false" outlineLevel="0" collapsed="false">
      <c r="A66" s="157"/>
      <c r="B66" s="82" t="s">
        <v>108</v>
      </c>
      <c r="C66" s="82"/>
      <c r="D66" s="82" t="n">
        <v>370</v>
      </c>
      <c r="E66" s="82"/>
      <c r="F66" s="26"/>
      <c r="G66" s="156"/>
      <c r="H66" s="65"/>
      <c r="I66" s="82"/>
      <c r="J66" s="82"/>
      <c r="K66" s="158"/>
      <c r="L66" s="146"/>
      <c r="M66" s="139"/>
      <c r="N66" s="3"/>
      <c r="O66" s="3"/>
    </row>
  </sheetData>
  <mergeCells count="38">
    <mergeCell ref="A1:B1"/>
    <mergeCell ref="G1:H1"/>
    <mergeCell ref="L1:L2"/>
    <mergeCell ref="M1:M66"/>
    <mergeCell ref="A2:E2"/>
    <mergeCell ref="G2:K2"/>
    <mergeCell ref="A3:A12"/>
    <mergeCell ref="G3:G31"/>
    <mergeCell ref="A13:E13"/>
    <mergeCell ref="A14:A19"/>
    <mergeCell ref="A20:E20"/>
    <mergeCell ref="A21:A22"/>
    <mergeCell ref="A23:E23"/>
    <mergeCell ref="A24:A28"/>
    <mergeCell ref="A29:E29"/>
    <mergeCell ref="A30:A33"/>
    <mergeCell ref="G32:K32"/>
    <mergeCell ref="G33:G37"/>
    <mergeCell ref="A34:E34"/>
    <mergeCell ref="A35:A42"/>
    <mergeCell ref="G38:G43"/>
    <mergeCell ref="A43:A44"/>
    <mergeCell ref="B43:B44"/>
    <mergeCell ref="C43:C44"/>
    <mergeCell ref="D43:D44"/>
    <mergeCell ref="E43:E44"/>
    <mergeCell ref="A45:E45"/>
    <mergeCell ref="G45:K45"/>
    <mergeCell ref="A46:A49"/>
    <mergeCell ref="G46:G56"/>
    <mergeCell ref="A50:E50"/>
    <mergeCell ref="A51:A54"/>
    <mergeCell ref="A55:E55"/>
    <mergeCell ref="A56:A58"/>
    <mergeCell ref="G57:K57"/>
    <mergeCell ref="G58:G66"/>
    <mergeCell ref="A59:E59"/>
    <mergeCell ref="A60:A6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71"/>
  <sheetViews>
    <sheetView showFormulas="false" showGridLines="true" showRowColHeaders="true" showZeros="true" rightToLeft="false" tabSelected="false" showOutlineSymbols="true" defaultGridColor="true" view="normal" topLeftCell="A34" colorId="64" zoomScale="75" zoomScaleNormal="75" zoomScalePageLayoutView="100" workbookViewId="0">
      <selection pane="topLeft" activeCell="A1" activeCellId="0" sqref="A1"/>
    </sheetView>
  </sheetViews>
  <sheetFormatPr defaultColWidth="8.5625" defaultRowHeight="13.8" zeroHeight="false" outlineLevelRow="0" outlineLevelCol="0"/>
  <cols>
    <col collapsed="false" customWidth="true" hidden="false" outlineLevel="0" max="1" min="1" style="0" width="46.14"/>
    <col collapsed="false" customWidth="true" hidden="false" outlineLevel="0" max="2" min="2" style="159" width="8.29"/>
    <col collapsed="false" customWidth="true" hidden="false" outlineLevel="0" max="3" min="3" style="0" width="3.3"/>
    <col collapsed="false" customWidth="true" hidden="false" outlineLevel="0" max="4" min="4" style="0" width="1.13"/>
    <col collapsed="false" customWidth="true" hidden="false" outlineLevel="0" max="5" min="5" style="0" width="43.42"/>
    <col collapsed="false" customWidth="true" hidden="false" outlineLevel="0" max="6" min="6" style="159" width="7.71"/>
    <col collapsed="false" customWidth="true" hidden="false" outlineLevel="0" max="7" min="7" style="0" width="3.3"/>
  </cols>
  <sheetData>
    <row r="1" customFormat="false" ht="48.6" hidden="false" customHeight="true" outlineLevel="0" collapsed="false">
      <c r="A1" s="160" t="s">
        <v>244</v>
      </c>
      <c r="B1" s="160"/>
      <c r="C1" s="160"/>
      <c r="D1" s="161"/>
      <c r="E1" s="162" t="s">
        <v>245</v>
      </c>
      <c r="F1" s="162"/>
      <c r="G1" s="162"/>
    </row>
    <row r="2" customFormat="false" ht="13.8" hidden="false" customHeight="false" outlineLevel="0" collapsed="false">
      <c r="A2" s="163"/>
      <c r="B2" s="164"/>
      <c r="C2" s="163"/>
      <c r="D2" s="163"/>
      <c r="E2" s="163"/>
      <c r="F2" s="164"/>
      <c r="G2" s="163"/>
    </row>
    <row r="3" customFormat="false" ht="13.8" hidden="false" customHeight="false" outlineLevel="0" collapsed="false">
      <c r="A3" s="165" t="s">
        <v>133</v>
      </c>
      <c r="B3" s="166" t="s">
        <v>246</v>
      </c>
      <c r="C3" s="165"/>
      <c r="D3" s="165"/>
      <c r="E3" s="165" t="s">
        <v>133</v>
      </c>
      <c r="F3" s="166" t="s">
        <v>246</v>
      </c>
      <c r="G3" s="165"/>
    </row>
    <row r="4" customFormat="false" ht="13.8" hidden="false" customHeight="false" outlineLevel="0" collapsed="false">
      <c r="A4" s="167" t="s">
        <v>247</v>
      </c>
      <c r="B4" s="168" t="n">
        <v>520</v>
      </c>
      <c r="C4" s="169" t="s">
        <v>248</v>
      </c>
      <c r="D4" s="163"/>
      <c r="E4" s="167" t="s">
        <v>249</v>
      </c>
      <c r="F4" s="168" t="n">
        <v>7</v>
      </c>
      <c r="G4" s="169" t="s">
        <v>248</v>
      </c>
    </row>
    <row r="5" customFormat="false" ht="13.8" hidden="false" customHeight="false" outlineLevel="0" collapsed="false">
      <c r="A5" s="167" t="s">
        <v>250</v>
      </c>
      <c r="B5" s="168" t="n">
        <v>300</v>
      </c>
      <c r="C5" s="169" t="s">
        <v>248</v>
      </c>
      <c r="D5" s="163"/>
      <c r="E5" s="167" t="s">
        <v>251</v>
      </c>
      <c r="F5" s="168" t="n">
        <v>10</v>
      </c>
      <c r="G5" s="169" t="s">
        <v>248</v>
      </c>
    </row>
    <row r="6" customFormat="false" ht="13.8" hidden="false" customHeight="false" outlineLevel="0" collapsed="false">
      <c r="A6" s="167" t="s">
        <v>252</v>
      </c>
      <c r="B6" s="168" t="n">
        <v>750</v>
      </c>
      <c r="C6" s="169" t="s">
        <v>248</v>
      </c>
      <c r="D6" s="163"/>
      <c r="E6" s="167" t="s">
        <v>253</v>
      </c>
      <c r="F6" s="168" t="n">
        <v>12</v>
      </c>
      <c r="G6" s="169" t="s">
        <v>248</v>
      </c>
    </row>
    <row r="7" customFormat="false" ht="13.8" hidden="false" customHeight="false" outlineLevel="0" collapsed="false">
      <c r="A7" s="167" t="s">
        <v>254</v>
      </c>
      <c r="B7" s="168" t="n">
        <v>500</v>
      </c>
      <c r="C7" s="169" t="s">
        <v>248</v>
      </c>
      <c r="D7" s="163"/>
      <c r="E7" s="167" t="s">
        <v>255</v>
      </c>
      <c r="F7" s="168" t="n">
        <v>20</v>
      </c>
      <c r="G7" s="169" t="s">
        <v>248</v>
      </c>
    </row>
    <row r="8" customFormat="false" ht="13.8" hidden="false" customHeight="false" outlineLevel="0" collapsed="false">
      <c r="A8" s="167" t="s">
        <v>256</v>
      </c>
      <c r="B8" s="168" t="n">
        <v>300</v>
      </c>
      <c r="C8" s="169" t="s">
        <v>248</v>
      </c>
      <c r="D8" s="163"/>
      <c r="E8" s="167" t="s">
        <v>257</v>
      </c>
      <c r="F8" s="168" t="n">
        <v>5</v>
      </c>
      <c r="G8" s="169" t="s">
        <v>248</v>
      </c>
    </row>
    <row r="9" customFormat="false" ht="13.8" hidden="false" customHeight="false" outlineLevel="0" collapsed="false">
      <c r="A9" s="167" t="s">
        <v>258</v>
      </c>
      <c r="B9" s="168" t="n">
        <v>550</v>
      </c>
      <c r="C9" s="169" t="s">
        <v>248</v>
      </c>
      <c r="D9" s="163"/>
      <c r="E9" s="167" t="s">
        <v>259</v>
      </c>
      <c r="F9" s="168" t="n">
        <v>6</v>
      </c>
      <c r="G9" s="169" t="s">
        <v>248</v>
      </c>
    </row>
    <row r="10" customFormat="false" ht="13.8" hidden="false" customHeight="false" outlineLevel="0" collapsed="false">
      <c r="A10" s="167" t="s">
        <v>260</v>
      </c>
      <c r="B10" s="168" t="n">
        <v>600</v>
      </c>
      <c r="C10" s="169" t="s">
        <v>248</v>
      </c>
      <c r="D10" s="163"/>
      <c r="E10" s="167" t="s">
        <v>261</v>
      </c>
      <c r="F10" s="168" t="n">
        <v>9</v>
      </c>
      <c r="G10" s="169" t="s">
        <v>248</v>
      </c>
    </row>
    <row r="11" customFormat="false" ht="13.8" hidden="false" customHeight="false" outlineLevel="0" collapsed="false">
      <c r="A11" s="167" t="s">
        <v>262</v>
      </c>
      <c r="B11" s="168" t="n">
        <v>1200</v>
      </c>
      <c r="C11" s="169" t="s">
        <v>248</v>
      </c>
      <c r="D11" s="163"/>
      <c r="E11" s="167" t="s">
        <v>263</v>
      </c>
      <c r="F11" s="168" t="n">
        <v>200</v>
      </c>
      <c r="G11" s="169" t="s">
        <v>248</v>
      </c>
    </row>
    <row r="12" customFormat="false" ht="13.8" hidden="false" customHeight="false" outlineLevel="0" collapsed="false">
      <c r="A12" s="167" t="s">
        <v>264</v>
      </c>
      <c r="B12" s="168" t="n">
        <v>700</v>
      </c>
      <c r="C12" s="169" t="s">
        <v>248</v>
      </c>
      <c r="D12" s="163"/>
      <c r="E12" s="167" t="s">
        <v>265</v>
      </c>
      <c r="F12" s="168" t="n">
        <v>75</v>
      </c>
      <c r="G12" s="169" t="s">
        <v>248</v>
      </c>
    </row>
    <row r="13" customFormat="false" ht="13.8" hidden="false" customHeight="false" outlineLevel="0" collapsed="false">
      <c r="A13" s="167" t="s">
        <v>266</v>
      </c>
      <c r="B13" s="168" t="n">
        <v>1150</v>
      </c>
      <c r="C13" s="169" t="s">
        <v>248</v>
      </c>
      <c r="D13" s="163"/>
      <c r="E13" s="167" t="s">
        <v>267</v>
      </c>
      <c r="F13" s="168" t="n">
        <v>25</v>
      </c>
      <c r="G13" s="169" t="s">
        <v>248</v>
      </c>
    </row>
    <row r="14" customFormat="false" ht="13.8" hidden="false" customHeight="false" outlineLevel="0" collapsed="false">
      <c r="A14" s="167" t="s">
        <v>268</v>
      </c>
      <c r="B14" s="168" t="n">
        <v>820</v>
      </c>
      <c r="C14" s="169" t="s">
        <v>248</v>
      </c>
      <c r="D14" s="163"/>
      <c r="E14" s="167" t="s">
        <v>269</v>
      </c>
      <c r="F14" s="168" t="n">
        <v>130</v>
      </c>
      <c r="G14" s="169" t="s">
        <v>248</v>
      </c>
    </row>
    <row r="15" customFormat="false" ht="13.8" hidden="false" customHeight="false" outlineLevel="0" collapsed="false">
      <c r="A15" s="167" t="s">
        <v>270</v>
      </c>
      <c r="B15" s="168" t="n">
        <v>1150</v>
      </c>
      <c r="C15" s="169" t="s">
        <v>248</v>
      </c>
      <c r="D15" s="163"/>
      <c r="E15" s="167" t="s">
        <v>271</v>
      </c>
      <c r="F15" s="168" t="n">
        <v>68</v>
      </c>
      <c r="G15" s="169" t="s">
        <v>248</v>
      </c>
    </row>
    <row r="16" customFormat="false" ht="13.8" hidden="false" customHeight="false" outlineLevel="0" collapsed="false">
      <c r="A16" s="167" t="s">
        <v>272</v>
      </c>
      <c r="B16" s="168" t="n">
        <v>1250</v>
      </c>
      <c r="C16" s="169" t="s">
        <v>248</v>
      </c>
      <c r="D16" s="163"/>
      <c r="E16" s="167" t="s">
        <v>273</v>
      </c>
      <c r="F16" s="168" t="n">
        <v>40</v>
      </c>
      <c r="G16" s="169" t="s">
        <v>248</v>
      </c>
    </row>
    <row r="17" customFormat="false" ht="13.8" hidden="false" customHeight="false" outlineLevel="0" collapsed="false">
      <c r="A17" s="167" t="s">
        <v>274</v>
      </c>
      <c r="B17" s="168" t="n">
        <v>1600</v>
      </c>
      <c r="C17" s="169" t="s">
        <v>248</v>
      </c>
      <c r="D17" s="163"/>
      <c r="E17" s="167" t="s">
        <v>275</v>
      </c>
      <c r="F17" s="168" t="n">
        <v>50</v>
      </c>
      <c r="G17" s="169" t="s">
        <v>248</v>
      </c>
    </row>
    <row r="18" customFormat="false" ht="13.8" hidden="false" customHeight="false" outlineLevel="0" collapsed="false">
      <c r="A18" s="167" t="s">
        <v>276</v>
      </c>
      <c r="B18" s="168" t="n">
        <v>650</v>
      </c>
      <c r="C18" s="169" t="s">
        <v>248</v>
      </c>
      <c r="D18" s="163"/>
      <c r="E18" s="167" t="s">
        <v>277</v>
      </c>
      <c r="F18" s="168" t="n">
        <v>65</v>
      </c>
      <c r="G18" s="169" t="s">
        <v>248</v>
      </c>
    </row>
    <row r="19" customFormat="false" ht="13.8" hidden="false" customHeight="false" outlineLevel="0" collapsed="false">
      <c r="A19" s="167" t="s">
        <v>278</v>
      </c>
      <c r="B19" s="168" t="n">
        <v>520</v>
      </c>
      <c r="C19" s="169" t="s">
        <v>248</v>
      </c>
      <c r="D19" s="163"/>
      <c r="E19" s="167" t="s">
        <v>279</v>
      </c>
      <c r="F19" s="168" t="n">
        <v>55</v>
      </c>
      <c r="G19" s="169" t="s">
        <v>248</v>
      </c>
    </row>
    <row r="20" customFormat="false" ht="13.8" hidden="false" customHeight="false" outlineLevel="0" collapsed="false">
      <c r="A20" s="167" t="s">
        <v>280</v>
      </c>
      <c r="B20" s="168" t="n">
        <v>520</v>
      </c>
      <c r="C20" s="169" t="s">
        <v>248</v>
      </c>
      <c r="D20" s="163"/>
      <c r="E20" s="167" t="s">
        <v>281</v>
      </c>
      <c r="F20" s="168" t="n">
        <v>200</v>
      </c>
      <c r="G20" s="169" t="s">
        <v>248</v>
      </c>
    </row>
    <row r="21" customFormat="false" ht="13.8" hidden="false" customHeight="false" outlineLevel="0" collapsed="false">
      <c r="A21" s="167" t="s">
        <v>282</v>
      </c>
      <c r="B21" s="168" t="n">
        <v>900</v>
      </c>
      <c r="C21" s="169" t="s">
        <v>248</v>
      </c>
      <c r="D21" s="163"/>
      <c r="E21" s="167" t="s">
        <v>283</v>
      </c>
      <c r="F21" s="168" t="n">
        <v>160</v>
      </c>
      <c r="G21" s="169" t="s">
        <v>248</v>
      </c>
    </row>
    <row r="22" customFormat="false" ht="13.8" hidden="false" customHeight="false" outlineLevel="0" collapsed="false">
      <c r="A22" s="167" t="s">
        <v>284</v>
      </c>
      <c r="B22" s="168" t="n">
        <v>550</v>
      </c>
      <c r="C22" s="169" t="s">
        <v>248</v>
      </c>
      <c r="D22" s="163"/>
      <c r="E22" s="167" t="s">
        <v>285</v>
      </c>
      <c r="F22" s="168" t="n">
        <v>1100</v>
      </c>
      <c r="G22" s="169" t="s">
        <v>248</v>
      </c>
    </row>
    <row r="23" customFormat="false" ht="13.8" hidden="false" customHeight="false" outlineLevel="0" collapsed="false">
      <c r="A23" s="167" t="s">
        <v>286</v>
      </c>
      <c r="B23" s="168" t="n">
        <v>22</v>
      </c>
      <c r="C23" s="169" t="s">
        <v>248</v>
      </c>
      <c r="D23" s="163"/>
      <c r="E23" s="167" t="s">
        <v>287</v>
      </c>
      <c r="F23" s="168" t="n">
        <v>450</v>
      </c>
      <c r="G23" s="169" t="s">
        <v>248</v>
      </c>
    </row>
    <row r="24" customFormat="false" ht="13.8" hidden="false" customHeight="false" outlineLevel="0" collapsed="false">
      <c r="A24" s="167" t="s">
        <v>288</v>
      </c>
      <c r="B24" s="168" t="n">
        <v>32</v>
      </c>
      <c r="C24" s="169" t="s">
        <v>248</v>
      </c>
      <c r="D24" s="163"/>
      <c r="E24" s="167" t="s">
        <v>289</v>
      </c>
      <c r="F24" s="168" t="n">
        <v>1700</v>
      </c>
      <c r="G24" s="169" t="s">
        <v>248</v>
      </c>
    </row>
    <row r="25" customFormat="false" ht="13.8" hidden="false" customHeight="false" outlineLevel="0" collapsed="false">
      <c r="A25" s="167" t="s">
        <v>290</v>
      </c>
      <c r="B25" s="168" t="n">
        <v>11</v>
      </c>
      <c r="C25" s="169" t="s">
        <v>248</v>
      </c>
      <c r="D25" s="163"/>
      <c r="E25" s="167" t="s">
        <v>291</v>
      </c>
      <c r="F25" s="168" t="n">
        <v>2700</v>
      </c>
      <c r="G25" s="169" t="s">
        <v>248</v>
      </c>
    </row>
    <row r="26" customFormat="false" ht="13.8" hidden="false" customHeight="false" outlineLevel="0" collapsed="false">
      <c r="A26" s="167" t="s">
        <v>292</v>
      </c>
      <c r="B26" s="168" t="n">
        <v>17</v>
      </c>
      <c r="C26" s="169" t="s">
        <v>248</v>
      </c>
      <c r="D26" s="163"/>
      <c r="E26" s="167" t="s">
        <v>293</v>
      </c>
      <c r="F26" s="168" t="n">
        <v>50</v>
      </c>
      <c r="G26" s="169" t="s">
        <v>248</v>
      </c>
    </row>
    <row r="27" customFormat="false" ht="13.8" hidden="false" customHeight="false" outlineLevel="0" collapsed="false">
      <c r="A27" s="167" t="s">
        <v>294</v>
      </c>
      <c r="B27" s="168" t="n">
        <v>850</v>
      </c>
      <c r="C27" s="169" t="s">
        <v>248</v>
      </c>
      <c r="D27" s="163"/>
      <c r="E27" s="167" t="s">
        <v>295</v>
      </c>
      <c r="F27" s="168" t="n">
        <v>8</v>
      </c>
      <c r="G27" s="169" t="s">
        <v>248</v>
      </c>
    </row>
    <row r="28" customFormat="false" ht="13.8" hidden="false" customHeight="false" outlineLevel="0" collapsed="false">
      <c r="A28" s="167" t="s">
        <v>296</v>
      </c>
      <c r="B28" s="168" t="n">
        <v>450</v>
      </c>
      <c r="C28" s="169" t="s">
        <v>248</v>
      </c>
      <c r="D28" s="163"/>
      <c r="E28" s="167" t="s">
        <v>297</v>
      </c>
      <c r="F28" s="168" t="n">
        <v>8</v>
      </c>
      <c r="G28" s="169" t="s">
        <v>248</v>
      </c>
    </row>
    <row r="29" customFormat="false" ht="13.8" hidden="false" customHeight="false" outlineLevel="0" collapsed="false">
      <c r="A29" s="167" t="s">
        <v>298</v>
      </c>
      <c r="B29" s="168" t="n">
        <v>18500</v>
      </c>
      <c r="C29" s="169" t="s">
        <v>248</v>
      </c>
      <c r="D29" s="163"/>
      <c r="E29" s="167" t="s">
        <v>299</v>
      </c>
      <c r="F29" s="168" t="n">
        <v>12</v>
      </c>
      <c r="G29" s="169" t="s">
        <v>248</v>
      </c>
    </row>
    <row r="30" customFormat="false" ht="13.8" hidden="false" customHeight="false" outlineLevel="0" collapsed="false">
      <c r="A30" s="167" t="s">
        <v>300</v>
      </c>
      <c r="B30" s="168" t="n">
        <v>650</v>
      </c>
      <c r="C30" s="169" t="s">
        <v>248</v>
      </c>
      <c r="D30" s="163"/>
      <c r="E30" s="167" t="s">
        <v>301</v>
      </c>
      <c r="F30" s="168" t="n">
        <v>250</v>
      </c>
      <c r="G30" s="169" t="s">
        <v>248</v>
      </c>
    </row>
    <row r="31" customFormat="false" ht="13.8" hidden="false" customHeight="false" outlineLevel="0" collapsed="false">
      <c r="A31" s="167" t="s">
        <v>302</v>
      </c>
      <c r="B31" s="168" t="n">
        <v>19500</v>
      </c>
      <c r="C31" s="169" t="s">
        <v>248</v>
      </c>
      <c r="D31" s="163"/>
      <c r="E31" s="167" t="s">
        <v>303</v>
      </c>
      <c r="F31" s="168" t="n">
        <v>25</v>
      </c>
      <c r="G31" s="169" t="s">
        <v>248</v>
      </c>
    </row>
    <row r="32" customFormat="false" ht="13.8" hidden="false" customHeight="false" outlineLevel="0" collapsed="false">
      <c r="A32" s="167" t="s">
        <v>304</v>
      </c>
      <c r="B32" s="168" t="n">
        <v>100</v>
      </c>
      <c r="C32" s="169" t="s">
        <v>248</v>
      </c>
      <c r="D32" s="163"/>
      <c r="E32" s="167" t="s">
        <v>305</v>
      </c>
      <c r="F32" s="168" t="n">
        <v>85</v>
      </c>
      <c r="G32" s="169" t="s">
        <v>248</v>
      </c>
    </row>
    <row r="33" customFormat="false" ht="13.8" hidden="false" customHeight="false" outlineLevel="0" collapsed="false">
      <c r="A33" s="167" t="s">
        <v>306</v>
      </c>
      <c r="B33" s="168" t="n">
        <v>120</v>
      </c>
      <c r="C33" s="169" t="s">
        <v>248</v>
      </c>
      <c r="D33" s="163"/>
      <c r="E33" s="167" t="s">
        <v>307</v>
      </c>
      <c r="F33" s="168" t="n">
        <v>50</v>
      </c>
      <c r="G33" s="169" t="s">
        <v>248</v>
      </c>
    </row>
    <row r="34" customFormat="false" ht="13.8" hidden="false" customHeight="false" outlineLevel="0" collapsed="false">
      <c r="A34" s="167" t="s">
        <v>308</v>
      </c>
      <c r="B34" s="168" t="n">
        <v>135</v>
      </c>
      <c r="C34" s="169" t="s">
        <v>248</v>
      </c>
      <c r="D34" s="163"/>
      <c r="E34" s="167" t="s">
        <v>309</v>
      </c>
      <c r="F34" s="168" t="n">
        <v>320</v>
      </c>
      <c r="G34" s="169" t="s">
        <v>248</v>
      </c>
    </row>
    <row r="35" customFormat="false" ht="13.8" hidden="false" customHeight="false" outlineLevel="0" collapsed="false">
      <c r="A35" s="167" t="s">
        <v>310</v>
      </c>
      <c r="B35" s="168" t="n">
        <v>120</v>
      </c>
      <c r="C35" s="169" t="s">
        <v>248</v>
      </c>
      <c r="D35" s="163"/>
      <c r="E35" s="167" t="s">
        <v>311</v>
      </c>
      <c r="F35" s="168" t="n">
        <v>200</v>
      </c>
      <c r="G35" s="169" t="s">
        <v>248</v>
      </c>
    </row>
    <row r="36" customFormat="false" ht="13.8" hidden="false" customHeight="false" outlineLevel="0" collapsed="false">
      <c r="A36" s="167" t="s">
        <v>312</v>
      </c>
      <c r="B36" s="168" t="n">
        <v>110</v>
      </c>
      <c r="C36" s="169" t="s">
        <v>248</v>
      </c>
      <c r="D36" s="163"/>
      <c r="E36" s="167" t="s">
        <v>313</v>
      </c>
      <c r="F36" s="168" t="n">
        <v>250</v>
      </c>
      <c r="G36" s="169" t="s">
        <v>248</v>
      </c>
    </row>
    <row r="37" customFormat="false" ht="13.8" hidden="false" customHeight="false" outlineLevel="0" collapsed="false">
      <c r="A37" s="167" t="s">
        <v>314</v>
      </c>
      <c r="B37" s="168" t="n">
        <v>800</v>
      </c>
      <c r="C37" s="169" t="s">
        <v>248</v>
      </c>
      <c r="D37" s="163"/>
      <c r="E37" s="167" t="s">
        <v>315</v>
      </c>
      <c r="F37" s="168" t="n">
        <v>550</v>
      </c>
      <c r="G37" s="169" t="s">
        <v>248</v>
      </c>
    </row>
    <row r="38" customFormat="false" ht="13.8" hidden="false" customHeight="false" outlineLevel="0" collapsed="false">
      <c r="A38" s="167" t="s">
        <v>316</v>
      </c>
      <c r="B38" s="168" t="n">
        <v>350</v>
      </c>
      <c r="C38" s="169" t="s">
        <v>248</v>
      </c>
      <c r="D38" s="163"/>
      <c r="E38" s="167" t="s">
        <v>317</v>
      </c>
      <c r="F38" s="168" t="n">
        <v>650</v>
      </c>
      <c r="G38" s="169" t="s">
        <v>248</v>
      </c>
    </row>
    <row r="39" customFormat="false" ht="13.8" hidden="false" customHeight="false" outlineLevel="0" collapsed="false">
      <c r="A39" s="167" t="s">
        <v>318</v>
      </c>
      <c r="B39" s="168" t="n">
        <v>850</v>
      </c>
      <c r="C39" s="169" t="s">
        <v>248</v>
      </c>
      <c r="D39" s="163"/>
      <c r="E39" s="167" t="s">
        <v>319</v>
      </c>
      <c r="F39" s="168" t="n">
        <v>750</v>
      </c>
      <c r="G39" s="169" t="s">
        <v>248</v>
      </c>
    </row>
    <row r="40" customFormat="false" ht="13.8" hidden="false" customHeight="false" outlineLevel="0" collapsed="false">
      <c r="A40" s="167" t="s">
        <v>320</v>
      </c>
      <c r="B40" s="168" t="n">
        <v>250</v>
      </c>
      <c r="C40" s="169" t="s">
        <v>248</v>
      </c>
      <c r="D40" s="163"/>
      <c r="E40" s="167" t="s">
        <v>321</v>
      </c>
      <c r="F40" s="168" t="n">
        <v>800</v>
      </c>
      <c r="G40" s="169" t="s">
        <v>248</v>
      </c>
    </row>
    <row r="41" customFormat="false" ht="13.8" hidden="false" customHeight="false" outlineLevel="0" collapsed="false">
      <c r="A41" s="167" t="s">
        <v>322</v>
      </c>
      <c r="B41" s="168" t="n">
        <v>65</v>
      </c>
      <c r="C41" s="169" t="s">
        <v>248</v>
      </c>
      <c r="D41" s="163"/>
      <c r="E41" s="167" t="s">
        <v>323</v>
      </c>
      <c r="F41" s="168" t="n">
        <v>2250</v>
      </c>
      <c r="G41" s="169" t="s">
        <v>248</v>
      </c>
    </row>
    <row r="42" customFormat="false" ht="13.8" hidden="false" customHeight="false" outlineLevel="0" collapsed="false">
      <c r="A42" s="167" t="s">
        <v>324</v>
      </c>
      <c r="B42" s="168" t="n">
        <v>150</v>
      </c>
      <c r="C42" s="169" t="s">
        <v>248</v>
      </c>
      <c r="D42" s="163"/>
      <c r="E42" s="167" t="s">
        <v>325</v>
      </c>
      <c r="F42" s="168" t="n">
        <v>3300</v>
      </c>
      <c r="G42" s="169" t="s">
        <v>248</v>
      </c>
    </row>
    <row r="43" customFormat="false" ht="13.8" hidden="false" customHeight="false" outlineLevel="0" collapsed="false">
      <c r="A43" s="167" t="s">
        <v>326</v>
      </c>
      <c r="B43" s="168" t="n">
        <v>800</v>
      </c>
      <c r="C43" s="169" t="s">
        <v>248</v>
      </c>
      <c r="D43" s="163"/>
      <c r="E43" s="167" t="s">
        <v>327</v>
      </c>
      <c r="F43" s="168" t="n">
        <v>70</v>
      </c>
      <c r="G43" s="169" t="s">
        <v>248</v>
      </c>
    </row>
    <row r="44" customFormat="false" ht="13.8" hidden="false" customHeight="false" outlineLevel="0" collapsed="false">
      <c r="A44" s="167" t="s">
        <v>328</v>
      </c>
      <c r="B44" s="168" t="n">
        <v>600</v>
      </c>
      <c r="C44" s="169" t="s">
        <v>248</v>
      </c>
      <c r="D44" s="163"/>
      <c r="E44" s="167" t="s">
        <v>329</v>
      </c>
      <c r="F44" s="168" t="n">
        <v>105</v>
      </c>
      <c r="G44" s="169" t="s">
        <v>248</v>
      </c>
    </row>
    <row r="45" customFormat="false" ht="13.8" hidden="false" customHeight="false" outlineLevel="0" collapsed="false">
      <c r="A45" s="167" t="s">
        <v>330</v>
      </c>
      <c r="B45" s="168" t="n">
        <v>250</v>
      </c>
      <c r="C45" s="169" t="s">
        <v>248</v>
      </c>
      <c r="D45" s="163"/>
      <c r="E45" s="167" t="s">
        <v>331</v>
      </c>
      <c r="F45" s="168" t="n">
        <v>135</v>
      </c>
      <c r="G45" s="169" t="s">
        <v>248</v>
      </c>
    </row>
    <row r="46" customFormat="false" ht="13.8" hidden="false" customHeight="false" outlineLevel="0" collapsed="false">
      <c r="A46" s="167" t="s">
        <v>332</v>
      </c>
      <c r="B46" s="168" t="n">
        <v>900</v>
      </c>
      <c r="C46" s="169" t="s">
        <v>248</v>
      </c>
      <c r="D46" s="163"/>
      <c r="E46" s="167" t="s">
        <v>333</v>
      </c>
      <c r="F46" s="168" t="n">
        <v>135</v>
      </c>
      <c r="G46" s="169" t="s">
        <v>248</v>
      </c>
    </row>
    <row r="47" customFormat="false" ht="13.8" hidden="false" customHeight="false" outlineLevel="0" collapsed="false">
      <c r="A47" s="167" t="s">
        <v>334</v>
      </c>
      <c r="B47" s="168" t="n">
        <v>200</v>
      </c>
      <c r="C47" s="169" t="s">
        <v>248</v>
      </c>
      <c r="D47" s="163"/>
      <c r="E47" s="167" t="s">
        <v>335</v>
      </c>
      <c r="F47" s="168" t="n">
        <v>30</v>
      </c>
      <c r="G47" s="169" t="s">
        <v>248</v>
      </c>
    </row>
    <row r="48" customFormat="false" ht="13.8" hidden="false" customHeight="false" outlineLevel="0" collapsed="false">
      <c r="A48" s="167" t="s">
        <v>336</v>
      </c>
      <c r="B48" s="168" t="n">
        <v>180</v>
      </c>
      <c r="C48" s="169" t="s">
        <v>248</v>
      </c>
      <c r="D48" s="163"/>
      <c r="E48" s="167" t="s">
        <v>337</v>
      </c>
      <c r="F48" s="168" t="n">
        <v>30</v>
      </c>
      <c r="G48" s="169" t="s">
        <v>248</v>
      </c>
    </row>
    <row r="49" customFormat="false" ht="13.8" hidden="false" customHeight="false" outlineLevel="0" collapsed="false">
      <c r="A49" s="167" t="s">
        <v>338</v>
      </c>
      <c r="B49" s="168" t="n">
        <v>450</v>
      </c>
      <c r="C49" s="169" t="s">
        <v>248</v>
      </c>
      <c r="D49" s="163"/>
      <c r="E49" s="167" t="s">
        <v>339</v>
      </c>
      <c r="F49" s="168" t="n">
        <v>10</v>
      </c>
      <c r="G49" s="169" t="s">
        <v>248</v>
      </c>
    </row>
    <row r="50" customFormat="false" ht="13.8" hidden="false" customHeight="false" outlineLevel="0" collapsed="false">
      <c r="A50" s="167" t="s">
        <v>340</v>
      </c>
      <c r="B50" s="168" t="n">
        <v>750</v>
      </c>
      <c r="C50" s="169" t="s">
        <v>248</v>
      </c>
      <c r="D50" s="163"/>
      <c r="E50" s="167" t="s">
        <v>341</v>
      </c>
      <c r="F50" s="168" t="n">
        <v>8</v>
      </c>
      <c r="G50" s="169" t="s">
        <v>248</v>
      </c>
    </row>
    <row r="51" customFormat="false" ht="13.8" hidden="false" customHeight="false" outlineLevel="0" collapsed="false">
      <c r="A51" s="167" t="s">
        <v>342</v>
      </c>
      <c r="B51" s="168" t="n">
        <v>800</v>
      </c>
      <c r="C51" s="169" t="s">
        <v>248</v>
      </c>
      <c r="D51" s="163"/>
      <c r="E51" s="167" t="s">
        <v>343</v>
      </c>
      <c r="F51" s="168" t="n">
        <v>1150</v>
      </c>
      <c r="G51" s="169" t="s">
        <v>248</v>
      </c>
    </row>
    <row r="52" customFormat="false" ht="13.8" hidden="false" customHeight="false" outlineLevel="0" collapsed="false">
      <c r="A52" s="167" t="s">
        <v>344</v>
      </c>
      <c r="B52" s="168" t="n">
        <v>480</v>
      </c>
      <c r="C52" s="169" t="s">
        <v>248</v>
      </c>
      <c r="D52" s="163"/>
      <c r="E52" s="167" t="s">
        <v>345</v>
      </c>
      <c r="F52" s="168" t="n">
        <v>90</v>
      </c>
      <c r="G52" s="169" t="s">
        <v>248</v>
      </c>
    </row>
    <row r="53" customFormat="false" ht="13.8" hidden="false" customHeight="false" outlineLevel="0" collapsed="false">
      <c r="A53" s="167" t="s">
        <v>346</v>
      </c>
      <c r="B53" s="168" t="n">
        <v>830</v>
      </c>
      <c r="C53" s="169" t="s">
        <v>248</v>
      </c>
      <c r="D53" s="163"/>
      <c r="E53" s="167" t="s">
        <v>347</v>
      </c>
      <c r="F53" s="168" t="n">
        <v>320</v>
      </c>
      <c r="G53" s="169" t="s">
        <v>248</v>
      </c>
    </row>
    <row r="54" customFormat="false" ht="13.8" hidden="false" customHeight="false" outlineLevel="0" collapsed="false">
      <c r="A54" s="167" t="s">
        <v>348</v>
      </c>
      <c r="B54" s="168" t="n">
        <v>460</v>
      </c>
      <c r="C54" s="169" t="s">
        <v>248</v>
      </c>
      <c r="D54" s="163"/>
      <c r="E54" s="167" t="s">
        <v>349</v>
      </c>
      <c r="F54" s="168" t="n">
        <v>195</v>
      </c>
      <c r="G54" s="169" t="s">
        <v>248</v>
      </c>
    </row>
    <row r="55" customFormat="false" ht="13.8" hidden="false" customHeight="false" outlineLevel="0" collapsed="false">
      <c r="A55" s="167" t="s">
        <v>350</v>
      </c>
      <c r="B55" s="168" t="n">
        <v>50</v>
      </c>
      <c r="C55" s="169" t="s">
        <v>248</v>
      </c>
      <c r="D55" s="163"/>
      <c r="E55" s="167" t="s">
        <v>351</v>
      </c>
      <c r="F55" s="168" t="n">
        <v>300</v>
      </c>
      <c r="G55" s="169" t="s">
        <v>248</v>
      </c>
    </row>
    <row r="56" customFormat="false" ht="13.8" hidden="false" customHeight="false" outlineLevel="0" collapsed="false">
      <c r="A56" s="167" t="s">
        <v>352</v>
      </c>
      <c r="B56" s="168" t="n">
        <v>35</v>
      </c>
      <c r="C56" s="169" t="s">
        <v>248</v>
      </c>
      <c r="D56" s="163"/>
      <c r="E56" s="167" t="s">
        <v>353</v>
      </c>
      <c r="F56" s="168" t="n">
        <v>250</v>
      </c>
      <c r="G56" s="169" t="s">
        <v>248</v>
      </c>
    </row>
    <row r="57" customFormat="false" ht="13.8" hidden="false" customHeight="false" outlineLevel="0" collapsed="false">
      <c r="A57" s="167" t="s">
        <v>354</v>
      </c>
      <c r="B57" s="168" t="n">
        <v>175</v>
      </c>
      <c r="C57" s="169" t="s">
        <v>248</v>
      </c>
      <c r="D57" s="163"/>
      <c r="E57" s="167" t="s">
        <v>355</v>
      </c>
      <c r="F57" s="168" t="n">
        <v>30</v>
      </c>
      <c r="G57" s="169" t="s">
        <v>248</v>
      </c>
    </row>
    <row r="58" customFormat="false" ht="13.8" hidden="false" customHeight="false" outlineLevel="0" collapsed="false">
      <c r="A58" s="167" t="s">
        <v>356</v>
      </c>
      <c r="B58" s="168" t="n">
        <v>100</v>
      </c>
      <c r="C58" s="169" t="s">
        <v>248</v>
      </c>
      <c r="D58" s="163"/>
      <c r="E58" s="167" t="s">
        <v>357</v>
      </c>
      <c r="F58" s="168" t="n">
        <v>30</v>
      </c>
      <c r="G58" s="169" t="s">
        <v>248</v>
      </c>
    </row>
    <row r="59" customFormat="false" ht="13.8" hidden="false" customHeight="false" outlineLevel="0" collapsed="false">
      <c r="A59" s="167" t="s">
        <v>358</v>
      </c>
      <c r="B59" s="168" t="n">
        <v>185</v>
      </c>
      <c r="C59" s="169" t="s">
        <v>248</v>
      </c>
      <c r="D59" s="163"/>
      <c r="E59" s="167" t="s">
        <v>359</v>
      </c>
      <c r="F59" s="168" t="n">
        <v>500</v>
      </c>
      <c r="G59" s="169" t="s">
        <v>248</v>
      </c>
    </row>
    <row r="60" customFormat="false" ht="13.8" hidden="false" customHeight="false" outlineLevel="0" collapsed="false">
      <c r="A60" s="167" t="s">
        <v>360</v>
      </c>
      <c r="B60" s="168" t="n">
        <v>380</v>
      </c>
      <c r="C60" s="169" t="s">
        <v>248</v>
      </c>
      <c r="D60" s="163"/>
      <c r="E60" s="167" t="s">
        <v>361</v>
      </c>
      <c r="F60" s="168" t="n">
        <v>800</v>
      </c>
      <c r="G60" s="169" t="s">
        <v>248</v>
      </c>
    </row>
    <row r="61" customFormat="false" ht="13.8" hidden="false" customHeight="false" outlineLevel="0" collapsed="false">
      <c r="A61" s="167" t="s">
        <v>362</v>
      </c>
      <c r="B61" s="168" t="n">
        <v>40</v>
      </c>
      <c r="C61" s="169" t="s">
        <v>248</v>
      </c>
      <c r="D61" s="163"/>
      <c r="E61" s="167" t="s">
        <v>363</v>
      </c>
      <c r="F61" s="168" t="n">
        <v>200</v>
      </c>
      <c r="G61" s="169" t="s">
        <v>248</v>
      </c>
    </row>
    <row r="62" customFormat="false" ht="13.8" hidden="false" customHeight="false" outlineLevel="0" collapsed="false">
      <c r="A62" s="167" t="s">
        <v>364</v>
      </c>
      <c r="B62" s="168" t="n">
        <v>4</v>
      </c>
      <c r="C62" s="169" t="s">
        <v>248</v>
      </c>
      <c r="D62" s="163"/>
      <c r="E62" s="167" t="s">
        <v>365</v>
      </c>
      <c r="F62" s="168" t="n">
        <v>210</v>
      </c>
      <c r="G62" s="169" t="s">
        <v>248</v>
      </c>
    </row>
    <row r="65" customFormat="false" ht="13.8" hidden="false" customHeight="false" outlineLevel="0" collapsed="false">
      <c r="E65" s="37"/>
      <c r="F65" s="170"/>
      <c r="G65" s="171"/>
    </row>
    <row r="66" customFormat="false" ht="13.8" hidden="false" customHeight="false" outlineLevel="0" collapsed="false">
      <c r="E66" s="37"/>
      <c r="F66" s="170"/>
      <c r="G66" s="171"/>
    </row>
    <row r="67" customFormat="false" ht="13.8" hidden="false" customHeight="false" outlineLevel="0" collapsed="false">
      <c r="E67" s="37"/>
      <c r="F67" s="170"/>
      <c r="G67" s="171"/>
    </row>
    <row r="68" customFormat="false" ht="13.8" hidden="false" customHeight="false" outlineLevel="0" collapsed="false">
      <c r="E68" s="37"/>
      <c r="F68" s="170"/>
      <c r="G68" s="171"/>
    </row>
    <row r="69" customFormat="false" ht="13.8" hidden="false" customHeight="false" outlineLevel="0" collapsed="false">
      <c r="E69" s="37"/>
      <c r="F69" s="170"/>
      <c r="G69" s="171"/>
    </row>
    <row r="70" customFormat="false" ht="13.8" hidden="false" customHeight="false" outlineLevel="0" collapsed="false">
      <c r="E70" s="37"/>
      <c r="F70" s="170"/>
      <c r="G70" s="171"/>
    </row>
    <row r="71" customFormat="false" ht="13.8" hidden="false" customHeight="false" outlineLevel="0" collapsed="false">
      <c r="E71" s="37"/>
      <c r="F71" s="170"/>
      <c r="G71" s="171"/>
    </row>
  </sheetData>
  <mergeCells count="2">
    <mergeCell ref="A1:C1"/>
    <mergeCell ref="E1:G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5625" defaultRowHeight="13.8" zeroHeight="false" outlineLevelRow="0" outlineLevelCol="0"/>
  <cols>
    <col collapsed="false" customWidth="true" hidden="false" outlineLevel="0" max="1" min="1" style="0" width="44.85"/>
    <col collapsed="false" customWidth="true" hidden="false" outlineLevel="0" max="2" min="2" style="159" width="7.57"/>
    <col collapsed="false" customWidth="true" hidden="false" outlineLevel="0" max="3" min="3" style="0" width="3.3"/>
    <col collapsed="false" customWidth="true" hidden="false" outlineLevel="0" max="4" min="4" style="0" width="2"/>
    <col collapsed="false" customWidth="true" hidden="false" outlineLevel="0" max="5" min="5" style="0" width="44"/>
    <col collapsed="false" customWidth="true" hidden="false" outlineLevel="0" max="6" min="6" style="0" width="6.42"/>
    <col collapsed="false" customWidth="true" hidden="false" outlineLevel="0" max="7" min="7" style="0" width="3.3"/>
  </cols>
  <sheetData>
    <row r="1" customFormat="false" ht="48.6" hidden="false" customHeight="true" outlineLevel="0" collapsed="false">
      <c r="A1" s="172" t="s">
        <v>244</v>
      </c>
      <c r="B1" s="172"/>
      <c r="C1" s="172"/>
      <c r="D1" s="173"/>
      <c r="E1" s="162" t="s">
        <v>245</v>
      </c>
      <c r="F1" s="162"/>
      <c r="G1" s="162"/>
    </row>
    <row r="2" customFormat="false" ht="13.8" hidden="false" customHeight="false" outlineLevel="0" collapsed="false">
      <c r="A2" s="174"/>
      <c r="B2" s="175"/>
      <c r="C2" s="174"/>
      <c r="D2" s="174"/>
      <c r="E2" s="174"/>
      <c r="F2" s="174"/>
      <c r="G2" s="174"/>
    </row>
    <row r="3" customFormat="false" ht="13.8" hidden="false" customHeight="false" outlineLevel="0" collapsed="false">
      <c r="A3" s="176" t="s">
        <v>133</v>
      </c>
      <c r="B3" s="177" t="s">
        <v>246</v>
      </c>
      <c r="C3" s="176"/>
      <c r="D3" s="176"/>
      <c r="E3" s="176" t="s">
        <v>133</v>
      </c>
      <c r="F3" s="176" t="s">
        <v>246</v>
      </c>
      <c r="G3" s="176"/>
    </row>
    <row r="4" customFormat="false" ht="13.8" hidden="false" customHeight="false" outlineLevel="0" collapsed="false">
      <c r="A4" s="178" t="s">
        <v>366</v>
      </c>
      <c r="B4" s="179" t="n">
        <v>720</v>
      </c>
      <c r="C4" s="180"/>
      <c r="D4" s="174"/>
      <c r="E4" s="178" t="s">
        <v>367</v>
      </c>
      <c r="F4" s="179" t="n">
        <v>450</v>
      </c>
      <c r="G4" s="180"/>
    </row>
    <row r="5" customFormat="false" ht="13.8" hidden="false" customHeight="false" outlineLevel="0" collapsed="false">
      <c r="A5" s="178" t="s">
        <v>368</v>
      </c>
      <c r="B5" s="179" t="n">
        <v>820</v>
      </c>
      <c r="C5" s="180"/>
      <c r="D5" s="174"/>
      <c r="E5" s="178" t="s">
        <v>369</v>
      </c>
      <c r="F5" s="179" t="n">
        <v>1900</v>
      </c>
      <c r="G5" s="180"/>
    </row>
    <row r="6" customFormat="false" ht="13.8" hidden="false" customHeight="false" outlineLevel="0" collapsed="false">
      <c r="A6" s="178" t="s">
        <v>370</v>
      </c>
      <c r="B6" s="179" t="n">
        <v>850</v>
      </c>
      <c r="C6" s="180"/>
      <c r="D6" s="174"/>
      <c r="E6" s="178" t="s">
        <v>371</v>
      </c>
      <c r="F6" s="179" t="n">
        <v>600</v>
      </c>
      <c r="G6" s="180"/>
    </row>
    <row r="7" customFormat="false" ht="13.8" hidden="false" customHeight="false" outlineLevel="0" collapsed="false">
      <c r="A7" s="178" t="s">
        <v>268</v>
      </c>
      <c r="B7" s="179" t="n">
        <v>1020</v>
      </c>
      <c r="C7" s="180"/>
      <c r="D7" s="174"/>
      <c r="E7" s="178" t="s">
        <v>372</v>
      </c>
      <c r="F7" s="179" t="n">
        <v>900</v>
      </c>
      <c r="G7" s="180"/>
    </row>
    <row r="8" customFormat="false" ht="13.8" hidden="false" customHeight="false" outlineLevel="0" collapsed="false">
      <c r="A8" s="178" t="s">
        <v>373</v>
      </c>
      <c r="B8" s="179" t="n">
        <v>750</v>
      </c>
      <c r="C8" s="180"/>
      <c r="D8" s="174"/>
      <c r="E8" s="178" t="s">
        <v>374</v>
      </c>
      <c r="F8" s="179" t="n">
        <v>35</v>
      </c>
      <c r="G8" s="180"/>
    </row>
    <row r="9" customFormat="false" ht="13.8" hidden="false" customHeight="false" outlineLevel="0" collapsed="false">
      <c r="A9" s="178" t="s">
        <v>375</v>
      </c>
      <c r="B9" s="179" t="n">
        <v>900</v>
      </c>
      <c r="C9" s="180"/>
      <c r="D9" s="174"/>
      <c r="E9" s="178" t="s">
        <v>349</v>
      </c>
      <c r="F9" s="179" t="n">
        <v>200</v>
      </c>
      <c r="G9" s="180"/>
    </row>
    <row r="10" customFormat="false" ht="13.8" hidden="false" customHeight="false" outlineLevel="0" collapsed="false">
      <c r="A10" s="178" t="s">
        <v>376</v>
      </c>
      <c r="B10" s="179" t="n">
        <v>2500</v>
      </c>
      <c r="C10" s="180"/>
      <c r="D10" s="174"/>
      <c r="E10" s="178" t="s">
        <v>377</v>
      </c>
      <c r="F10" s="179" t="n">
        <v>200</v>
      </c>
      <c r="G10" s="180"/>
    </row>
    <row r="11" customFormat="false" ht="13.8" hidden="false" customHeight="false" outlineLevel="0" collapsed="false">
      <c r="A11" s="178" t="s">
        <v>378</v>
      </c>
      <c r="B11" s="179" t="n">
        <v>2900</v>
      </c>
      <c r="C11" s="180"/>
      <c r="D11" s="174"/>
      <c r="E11" s="178" t="s">
        <v>379</v>
      </c>
      <c r="F11" s="179" t="n">
        <v>250</v>
      </c>
      <c r="G11" s="180"/>
    </row>
    <row r="12" customFormat="false" ht="13.8" hidden="false" customHeight="false" outlineLevel="0" collapsed="false">
      <c r="A12" s="178" t="s">
        <v>380</v>
      </c>
      <c r="B12" s="179" t="n">
        <v>75</v>
      </c>
      <c r="C12" s="180"/>
      <c r="D12" s="174"/>
      <c r="E12" s="178" t="s">
        <v>381</v>
      </c>
      <c r="F12" s="179" t="n">
        <v>300</v>
      </c>
      <c r="G12" s="180"/>
    </row>
    <row r="13" customFormat="false" ht="13.8" hidden="false" customHeight="false" outlineLevel="0" collapsed="false">
      <c r="A13" s="178" t="s">
        <v>382</v>
      </c>
      <c r="B13" s="179" t="n">
        <v>96</v>
      </c>
      <c r="C13" s="180"/>
      <c r="D13" s="174"/>
      <c r="E13" s="178" t="s">
        <v>383</v>
      </c>
      <c r="F13" s="179" t="n">
        <v>400</v>
      </c>
      <c r="G13" s="180"/>
    </row>
    <row r="14" customFormat="false" ht="13.8" hidden="false" customHeight="false" outlineLevel="0" collapsed="false">
      <c r="A14" s="178" t="s">
        <v>384</v>
      </c>
      <c r="B14" s="179" t="n">
        <v>120</v>
      </c>
      <c r="C14" s="180"/>
      <c r="D14" s="174"/>
      <c r="E14" s="178" t="s">
        <v>385</v>
      </c>
      <c r="F14" s="179" t="n">
        <v>460</v>
      </c>
      <c r="G14" s="180"/>
    </row>
    <row r="15" customFormat="false" ht="13.8" hidden="false" customHeight="false" outlineLevel="0" collapsed="false">
      <c r="A15" s="178" t="s">
        <v>386</v>
      </c>
      <c r="B15" s="179" t="n">
        <v>125</v>
      </c>
      <c r="C15" s="180"/>
      <c r="D15" s="174"/>
      <c r="E15" s="178" t="s">
        <v>387</v>
      </c>
      <c r="F15" s="179" t="n">
        <v>300</v>
      </c>
      <c r="G15" s="180"/>
    </row>
    <row r="16" customFormat="false" ht="13.8" hidden="false" customHeight="false" outlineLevel="0" collapsed="false">
      <c r="A16" s="178" t="s">
        <v>388</v>
      </c>
      <c r="B16" s="179" t="n">
        <v>170</v>
      </c>
      <c r="C16" s="180"/>
      <c r="D16" s="174"/>
      <c r="E16" s="178" t="s">
        <v>389</v>
      </c>
      <c r="F16" s="179" t="n">
        <v>300</v>
      </c>
      <c r="G16" s="180"/>
    </row>
    <row r="17" customFormat="false" ht="13.8" hidden="false" customHeight="false" outlineLevel="0" collapsed="false">
      <c r="A17" s="178" t="s">
        <v>390</v>
      </c>
      <c r="B17" s="179" t="n">
        <v>205</v>
      </c>
      <c r="C17" s="180"/>
      <c r="D17" s="174"/>
      <c r="E17" s="178" t="s">
        <v>391</v>
      </c>
      <c r="F17" s="179" t="n">
        <v>300</v>
      </c>
      <c r="G17" s="180"/>
    </row>
    <row r="18" customFormat="false" ht="13.8" hidden="false" customHeight="false" outlineLevel="0" collapsed="false">
      <c r="A18" s="178" t="s">
        <v>392</v>
      </c>
      <c r="B18" s="179" t="n">
        <v>200</v>
      </c>
      <c r="C18" s="180"/>
      <c r="D18" s="174"/>
      <c r="E18" s="178" t="s">
        <v>393</v>
      </c>
      <c r="F18" s="179" t="n">
        <v>160</v>
      </c>
      <c r="G18" s="180"/>
    </row>
    <row r="19" customFormat="false" ht="13.8" hidden="false" customHeight="false" outlineLevel="0" collapsed="false">
      <c r="A19" s="178" t="s">
        <v>394</v>
      </c>
      <c r="B19" s="179" t="n">
        <v>300</v>
      </c>
      <c r="C19" s="180"/>
      <c r="D19" s="174"/>
      <c r="E19" s="178" t="s">
        <v>395</v>
      </c>
      <c r="F19" s="179" t="n">
        <v>120</v>
      </c>
      <c r="G19" s="180"/>
    </row>
    <row r="20" customFormat="false" ht="13.8" hidden="false" customHeight="false" outlineLevel="0" collapsed="false">
      <c r="A20" s="178" t="s">
        <v>396</v>
      </c>
      <c r="B20" s="179" t="n">
        <v>11</v>
      </c>
      <c r="C20" s="180"/>
      <c r="D20" s="174"/>
      <c r="E20" s="178" t="s">
        <v>397</v>
      </c>
      <c r="F20" s="179" t="n">
        <v>1250</v>
      </c>
      <c r="G20" s="180"/>
    </row>
    <row r="21" customFormat="false" ht="13.8" hidden="false" customHeight="false" outlineLevel="0" collapsed="false">
      <c r="A21" s="178" t="s">
        <v>398</v>
      </c>
      <c r="B21" s="179" t="n">
        <v>17</v>
      </c>
      <c r="C21" s="180"/>
      <c r="D21" s="174"/>
      <c r="E21" s="178" t="s">
        <v>399</v>
      </c>
      <c r="F21" s="179" t="n">
        <v>1300</v>
      </c>
      <c r="G21" s="180"/>
    </row>
    <row r="22" customFormat="false" ht="13.8" hidden="false" customHeight="false" outlineLevel="0" collapsed="false">
      <c r="A22" s="178" t="s">
        <v>400</v>
      </c>
      <c r="B22" s="179" t="n">
        <v>22</v>
      </c>
      <c r="C22" s="180"/>
      <c r="D22" s="174"/>
      <c r="E22" s="178" t="s">
        <v>401</v>
      </c>
      <c r="F22" s="179" t="n">
        <v>1400</v>
      </c>
      <c r="G22" s="180"/>
    </row>
    <row r="23" customFormat="false" ht="13.8" hidden="false" customHeight="false" outlineLevel="0" collapsed="false">
      <c r="A23" s="178" t="s">
        <v>402</v>
      </c>
      <c r="B23" s="179" t="n">
        <v>32</v>
      </c>
      <c r="C23" s="180"/>
      <c r="D23" s="174"/>
      <c r="E23" s="178" t="s">
        <v>403</v>
      </c>
      <c r="F23" s="179" t="n">
        <v>1450</v>
      </c>
      <c r="G23" s="180"/>
    </row>
    <row r="24" customFormat="false" ht="13.8" hidden="false" customHeight="false" outlineLevel="0" collapsed="false">
      <c r="A24" s="178" t="s">
        <v>404</v>
      </c>
      <c r="B24" s="179" t="n">
        <v>650</v>
      </c>
      <c r="C24" s="180"/>
      <c r="D24" s="174"/>
      <c r="E24" s="178" t="s">
        <v>405</v>
      </c>
      <c r="F24" s="179" t="n">
        <v>1070</v>
      </c>
      <c r="G24" s="180"/>
    </row>
    <row r="25" customFormat="false" ht="13.8" hidden="false" customHeight="false" outlineLevel="0" collapsed="false">
      <c r="A25" s="178" t="s">
        <v>406</v>
      </c>
      <c r="B25" s="179" t="n">
        <v>950</v>
      </c>
      <c r="C25" s="180"/>
      <c r="D25" s="174"/>
      <c r="E25" s="178" t="s">
        <v>407</v>
      </c>
      <c r="F25" s="179" t="n">
        <v>375</v>
      </c>
      <c r="G25" s="180"/>
    </row>
    <row r="26" customFormat="false" ht="13.8" hidden="false" customHeight="false" outlineLevel="0" collapsed="false">
      <c r="A26" s="178" t="s">
        <v>408</v>
      </c>
      <c r="B26" s="179" t="n">
        <v>1800</v>
      </c>
      <c r="C26" s="180"/>
      <c r="D26" s="174"/>
      <c r="E26" s="178" t="s">
        <v>409</v>
      </c>
      <c r="F26" s="179" t="n">
        <v>170</v>
      </c>
      <c r="G26" s="180"/>
    </row>
    <row r="27" customFormat="false" ht="13.8" hidden="false" customHeight="false" outlineLevel="0" collapsed="false">
      <c r="A27" s="178" t="s">
        <v>410</v>
      </c>
      <c r="B27" s="179" t="n">
        <v>1000</v>
      </c>
      <c r="C27" s="180"/>
      <c r="D27" s="174"/>
      <c r="E27" s="178" t="s">
        <v>411</v>
      </c>
      <c r="F27" s="179" t="n">
        <v>500</v>
      </c>
      <c r="G27" s="180"/>
    </row>
    <row r="28" customFormat="false" ht="13.8" hidden="false" customHeight="false" outlineLevel="0" collapsed="false">
      <c r="A28" s="178" t="s">
        <v>412</v>
      </c>
      <c r="B28" s="179" t="n">
        <v>19000</v>
      </c>
      <c r="C28" s="180"/>
      <c r="D28" s="174"/>
      <c r="E28" s="178" t="s">
        <v>413</v>
      </c>
      <c r="F28" s="179" t="n">
        <v>2800</v>
      </c>
      <c r="G28" s="180"/>
    </row>
    <row r="29" customFormat="false" ht="13.8" hidden="false" customHeight="false" outlineLevel="0" collapsed="false">
      <c r="A29" s="178" t="s">
        <v>414</v>
      </c>
      <c r="B29" s="179" t="n">
        <v>19500</v>
      </c>
      <c r="C29" s="180"/>
      <c r="D29" s="174"/>
      <c r="E29" s="178" t="s">
        <v>415</v>
      </c>
      <c r="F29" s="179" t="n">
        <v>3800</v>
      </c>
      <c r="G29" s="180"/>
    </row>
    <row r="30" customFormat="false" ht="13.8" hidden="false" customHeight="false" outlineLevel="0" collapsed="false">
      <c r="A30" s="178" t="s">
        <v>416</v>
      </c>
      <c r="B30" s="179" t="n">
        <v>230</v>
      </c>
      <c r="C30" s="180"/>
      <c r="D30" s="174"/>
      <c r="E30" s="178" t="s">
        <v>417</v>
      </c>
      <c r="F30" s="179" t="n">
        <v>580</v>
      </c>
      <c r="G30" s="180"/>
    </row>
    <row r="31" customFormat="false" ht="13.8" hidden="false" customHeight="false" outlineLevel="0" collapsed="false">
      <c r="A31" s="178" t="s">
        <v>418</v>
      </c>
      <c r="B31" s="179" t="n">
        <v>200</v>
      </c>
      <c r="C31" s="180"/>
      <c r="D31" s="174"/>
      <c r="E31" s="178" t="s">
        <v>419</v>
      </c>
      <c r="F31" s="179" t="n">
        <v>600</v>
      </c>
      <c r="G31" s="180"/>
    </row>
    <row r="32" customFormat="false" ht="13.8" hidden="false" customHeight="false" outlineLevel="0" collapsed="false">
      <c r="A32" s="178" t="s">
        <v>420</v>
      </c>
      <c r="B32" s="179" t="n">
        <v>320</v>
      </c>
      <c r="C32" s="180"/>
      <c r="D32" s="174"/>
      <c r="E32" s="178" t="s">
        <v>421</v>
      </c>
      <c r="F32" s="179" t="n">
        <v>40</v>
      </c>
      <c r="G32" s="180"/>
    </row>
    <row r="33" customFormat="false" ht="13.8" hidden="false" customHeight="false" outlineLevel="0" collapsed="false">
      <c r="A33" s="178" t="s">
        <v>422</v>
      </c>
      <c r="B33" s="179" t="n">
        <v>120</v>
      </c>
      <c r="C33" s="180"/>
      <c r="D33" s="174"/>
      <c r="E33" s="178" t="s">
        <v>423</v>
      </c>
      <c r="F33" s="179" t="n">
        <v>70</v>
      </c>
      <c r="G33" s="180"/>
    </row>
    <row r="34" customFormat="false" ht="13.8" hidden="false" customHeight="false" outlineLevel="0" collapsed="false">
      <c r="A34" s="178" t="s">
        <v>424</v>
      </c>
      <c r="B34" s="179" t="n">
        <v>350</v>
      </c>
      <c r="C34" s="180"/>
      <c r="D34" s="174"/>
      <c r="E34" s="178" t="s">
        <v>425</v>
      </c>
      <c r="F34" s="179" t="n">
        <v>100</v>
      </c>
      <c r="G34" s="180"/>
    </row>
    <row r="35" customFormat="false" ht="13.8" hidden="false" customHeight="false" outlineLevel="0" collapsed="false">
      <c r="A35" s="178" t="s">
        <v>426</v>
      </c>
      <c r="B35" s="179" t="n">
        <v>650</v>
      </c>
      <c r="C35" s="180"/>
      <c r="D35" s="174"/>
      <c r="E35" s="178" t="s">
        <v>427</v>
      </c>
      <c r="F35" s="179" t="n">
        <v>65</v>
      </c>
      <c r="G35" s="180"/>
    </row>
    <row r="36" customFormat="false" ht="13.8" hidden="false" customHeight="false" outlineLevel="0" collapsed="false">
      <c r="A36" s="178" t="s">
        <v>428</v>
      </c>
      <c r="B36" s="179" t="n">
        <v>850</v>
      </c>
      <c r="C36" s="180"/>
      <c r="D36" s="174"/>
      <c r="E36" s="178" t="s">
        <v>429</v>
      </c>
      <c r="F36" s="179" t="n">
        <v>120</v>
      </c>
      <c r="G36" s="180"/>
    </row>
    <row r="37" customFormat="false" ht="13.8" hidden="false" customHeight="false" outlineLevel="0" collapsed="false">
      <c r="A37" s="178" t="s">
        <v>430</v>
      </c>
      <c r="B37" s="179" t="n">
        <v>410</v>
      </c>
      <c r="C37" s="180"/>
      <c r="D37" s="174"/>
      <c r="E37" s="178" t="s">
        <v>431</v>
      </c>
      <c r="F37" s="179" t="n">
        <v>80</v>
      </c>
      <c r="G37" s="180"/>
    </row>
    <row r="38" customFormat="false" ht="13.8" hidden="false" customHeight="false" outlineLevel="0" collapsed="false">
      <c r="A38" s="178" t="s">
        <v>432</v>
      </c>
      <c r="B38" s="179" t="n">
        <v>430</v>
      </c>
      <c r="C38" s="180"/>
      <c r="D38" s="174"/>
      <c r="E38" s="178" t="s">
        <v>433</v>
      </c>
      <c r="F38" s="179" t="n">
        <v>120</v>
      </c>
      <c r="G38" s="180"/>
    </row>
    <row r="39" customFormat="false" ht="13.8" hidden="false" customHeight="false" outlineLevel="0" collapsed="false">
      <c r="A39" s="178" t="s">
        <v>434</v>
      </c>
      <c r="B39" s="179" t="n">
        <v>310</v>
      </c>
      <c r="C39" s="180"/>
      <c r="D39" s="174"/>
      <c r="E39" s="178" t="s">
        <v>435</v>
      </c>
      <c r="F39" s="179" t="n">
        <v>12</v>
      </c>
      <c r="G39" s="180"/>
    </row>
    <row r="40" customFormat="false" ht="13.8" hidden="false" customHeight="false" outlineLevel="0" collapsed="false">
      <c r="A40" s="178" t="s">
        <v>436</v>
      </c>
      <c r="B40" s="179" t="n">
        <v>330</v>
      </c>
      <c r="C40" s="180"/>
      <c r="D40" s="174"/>
      <c r="E40" s="178" t="s">
        <v>437</v>
      </c>
      <c r="F40" s="179" t="n">
        <v>8</v>
      </c>
      <c r="G40" s="180"/>
    </row>
    <row r="41" customFormat="false" ht="13.8" hidden="false" customHeight="false" outlineLevel="0" collapsed="false">
      <c r="A41" s="178" t="s">
        <v>438</v>
      </c>
      <c r="B41" s="179" t="n">
        <v>160</v>
      </c>
      <c r="C41" s="180"/>
      <c r="D41" s="174"/>
      <c r="E41" s="178" t="s">
        <v>439</v>
      </c>
      <c r="F41" s="179" t="n">
        <v>260</v>
      </c>
      <c r="G41" s="180"/>
    </row>
    <row r="42" customFormat="false" ht="13.8" hidden="false" customHeight="false" outlineLevel="0" collapsed="false">
      <c r="A42" s="178" t="s">
        <v>440</v>
      </c>
      <c r="B42" s="179" t="n">
        <v>120</v>
      </c>
      <c r="C42" s="180"/>
      <c r="D42" s="174"/>
      <c r="E42" s="178" t="s">
        <v>441</v>
      </c>
      <c r="F42" s="179" t="n">
        <v>400</v>
      </c>
      <c r="G42" s="180"/>
    </row>
    <row r="43" customFormat="false" ht="13.8" hidden="false" customHeight="false" outlineLevel="0" collapsed="false">
      <c r="A43" s="178" t="s">
        <v>442</v>
      </c>
      <c r="B43" s="179" t="n">
        <v>9</v>
      </c>
      <c r="C43" s="180"/>
      <c r="D43" s="174"/>
      <c r="E43" s="178" t="s">
        <v>443</v>
      </c>
      <c r="F43" s="179" t="n">
        <v>130</v>
      </c>
      <c r="G43" s="180"/>
    </row>
    <row r="44" customFormat="false" ht="13.8" hidden="false" customHeight="false" outlineLevel="0" collapsed="false">
      <c r="A44" s="178" t="s">
        <v>444</v>
      </c>
      <c r="B44" s="179" t="n">
        <v>800</v>
      </c>
      <c r="C44" s="180"/>
      <c r="D44" s="174"/>
      <c r="E44" s="178" t="s">
        <v>445</v>
      </c>
      <c r="F44" s="179" t="n">
        <v>150</v>
      </c>
      <c r="G44" s="180"/>
    </row>
    <row r="45" customFormat="false" ht="13.8" hidden="false" customHeight="false" outlineLevel="0" collapsed="false">
      <c r="A45" s="178" t="s">
        <v>446</v>
      </c>
      <c r="B45" s="179" t="n">
        <v>180</v>
      </c>
      <c r="C45" s="180"/>
      <c r="D45" s="174"/>
      <c r="E45" s="178" t="s">
        <v>447</v>
      </c>
      <c r="F45" s="179" t="n">
        <v>190</v>
      </c>
      <c r="G45" s="180"/>
    </row>
    <row r="46" customFormat="false" ht="13.8" hidden="false" customHeight="false" outlineLevel="0" collapsed="false">
      <c r="A46" s="178" t="s">
        <v>448</v>
      </c>
      <c r="B46" s="179" t="n">
        <v>250</v>
      </c>
      <c r="C46" s="180"/>
      <c r="D46" s="174"/>
      <c r="E46" s="178" t="s">
        <v>449</v>
      </c>
      <c r="F46" s="179" t="n">
        <v>200</v>
      </c>
      <c r="G46" s="180"/>
    </row>
    <row r="47" customFormat="false" ht="13.8" hidden="false" customHeight="false" outlineLevel="0" collapsed="false">
      <c r="A47" s="178" t="s">
        <v>450</v>
      </c>
      <c r="B47" s="179" t="n">
        <v>400</v>
      </c>
      <c r="C47" s="180"/>
      <c r="D47" s="174"/>
      <c r="E47" s="178" t="s">
        <v>451</v>
      </c>
      <c r="F47" s="179" t="n">
        <v>200</v>
      </c>
      <c r="G47" s="180"/>
    </row>
    <row r="48" customFormat="false" ht="13.8" hidden="false" customHeight="false" outlineLevel="0" collapsed="false">
      <c r="A48" s="178" t="s">
        <v>452</v>
      </c>
      <c r="B48" s="179" t="n">
        <v>135</v>
      </c>
      <c r="C48" s="180" t="s">
        <v>248</v>
      </c>
      <c r="D48" s="174"/>
      <c r="E48" s="181" t="s">
        <v>453</v>
      </c>
      <c r="F48" s="181"/>
      <c r="G48" s="181"/>
    </row>
    <row r="49" customFormat="false" ht="13.8" hidden="false" customHeight="false" outlineLevel="0" collapsed="false">
      <c r="A49" s="178" t="s">
        <v>454</v>
      </c>
      <c r="B49" s="179" t="n">
        <v>35</v>
      </c>
      <c r="C49" s="180" t="s">
        <v>248</v>
      </c>
      <c r="D49" s="174"/>
      <c r="E49" s="174" t="s">
        <v>455</v>
      </c>
      <c r="F49" s="174" t="n">
        <v>200</v>
      </c>
      <c r="G49" s="174" t="s">
        <v>248</v>
      </c>
    </row>
    <row r="50" customFormat="false" ht="13.8" hidden="false" customHeight="false" outlineLevel="0" collapsed="false">
      <c r="A50" s="178" t="s">
        <v>456</v>
      </c>
      <c r="B50" s="179" t="n">
        <v>40</v>
      </c>
      <c r="C50" s="180" t="s">
        <v>248</v>
      </c>
      <c r="D50" s="174"/>
      <c r="E50" s="174" t="s">
        <v>457</v>
      </c>
      <c r="F50" s="174" t="n">
        <v>200</v>
      </c>
      <c r="G50" s="174" t="s">
        <v>248</v>
      </c>
    </row>
    <row r="51" customFormat="false" ht="13.8" hidden="false" customHeight="false" outlineLevel="0" collapsed="false">
      <c r="A51" s="178" t="s">
        <v>458</v>
      </c>
      <c r="B51" s="179" t="n">
        <v>500</v>
      </c>
      <c r="C51" s="180" t="s">
        <v>248</v>
      </c>
      <c r="D51" s="174"/>
      <c r="E51" s="174" t="s">
        <v>459</v>
      </c>
      <c r="F51" s="174" t="n">
        <v>280</v>
      </c>
      <c r="G51" s="174" t="s">
        <v>248</v>
      </c>
    </row>
    <row r="52" customFormat="false" ht="13.8" hidden="false" customHeight="false" outlineLevel="0" collapsed="false">
      <c r="A52" s="178" t="s">
        <v>460</v>
      </c>
      <c r="B52" s="179" t="n">
        <v>200</v>
      </c>
      <c r="C52" s="180" t="s">
        <v>248</v>
      </c>
      <c r="D52" s="174"/>
      <c r="E52" s="174" t="s">
        <v>461</v>
      </c>
      <c r="F52" s="174" t="n">
        <v>300</v>
      </c>
      <c r="G52" s="174" t="s">
        <v>248</v>
      </c>
    </row>
    <row r="53" customFormat="false" ht="13.8" hidden="false" customHeight="false" outlineLevel="0" collapsed="false">
      <c r="E53" s="174" t="s">
        <v>462</v>
      </c>
      <c r="F53" s="174" t="n">
        <v>300</v>
      </c>
      <c r="G53" s="174" t="s">
        <v>248</v>
      </c>
    </row>
  </sheetData>
  <mergeCells count="3">
    <mergeCell ref="A1:C1"/>
    <mergeCell ref="E1:G1"/>
    <mergeCell ref="E48:G4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2021-03-26T10:51:12Z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